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ador" sheetId="1" state="visible" r:id="rId1"/>
    <sheet name="Amortização" sheetId="2" state="visible" r:id="rId2"/>
    <sheet name="Juros composto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4A"/>
      <sz val="12"/>
    </font>
    <font>
      <name val="Calibri"/>
      <b val="1"/>
      <color rgb="001B2A34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4" fillId="3" borderId="1" pivotButton="0" quotePrefix="0" xfId="0"/>
    <xf numFmtId="10" fontId="4" fillId="3" borderId="1" pivotButton="0" quotePrefix="0" xfId="0"/>
    <xf numFmtId="1" fontId="4" fillId="3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  <xf numFmtId="164" fontId="4" fillId="4" borderId="1" pivotButton="0" quotePrefix="0" xfId="0"/>
    <xf numFmtId="10" fontId="4" fillId="4" borderId="1" pivotButton="0" quotePrefix="0" xfId="0"/>
    <xf numFmtId="0" fontId="6" fillId="0" borderId="0" pivotButton="0" quotePrefix="0" xfId="0"/>
    <xf numFmtId="164" fontId="6" fillId="4" borderId="1" pivotButton="0" quotePrefix="0" xfId="0"/>
    <xf numFmtId="165" fontId="4" fillId="4" borderId="1" pivotButton="0" quotePrefix="0" xfId="0"/>
    <xf numFmtId="0" fontId="6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/>
    </xf>
    <xf numFmtId="1" fontId="6" fillId="4" borderId="1" applyAlignment="1" pivotButton="0" quotePrefix="0" xfId="0">
      <alignment horizontal="center" vertical="center"/>
    </xf>
    <xf numFmtId="10" fontId="6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0" fontId="6" fillId="4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C9EBD3"/>
          <bgColor rgb="00C9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Valor acumulado x total investido</a:t>
            </a:r>
          </a:p>
        </rich>
      </tx>
    </title>
    <plotArea>
      <lineChart>
        <grouping val="standard"/>
        <ser>
          <idx val="0"/>
          <order val="0"/>
          <tx>
            <strRef>
              <f>'Juros compostos'!C13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'Juros compostos'!$A$14:$A$33</f>
            </numRef>
          </cat>
          <val>
            <numRef>
              <f>'Juros compostos'!$C$14:$C$33</f>
            </numRef>
          </val>
        </ser>
        <ser>
          <idx val="1"/>
          <order val="1"/>
          <tx>
            <strRef>
              <f>'Juros compostos'!D13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'Juros compostos'!$A$14:$A$33</f>
            </numRef>
          </cat>
          <val>
            <numRef>
              <f>'Juros compostos'!$D$14:$D$33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20" customWidth="1" min="4" max="4"/>
  </cols>
  <sheetData>
    <row r="1" ht="28" customHeight="1">
      <c r="A1" s="1" t="inlineStr">
        <is>
          <t>Comparador de financiamento</t>
        </is>
      </c>
    </row>
    <row r="2">
      <c r="A2" s="2" t="inlineStr">
        <is>
          <t>Digite as condições de até 3 propostas nas colunas amarelas. A planilha calcula parcela, juros totais e custo total.</t>
        </is>
      </c>
    </row>
    <row r="3"/>
    <row r="4" ht="30" customHeight="1">
      <c r="A4" s="3" t="inlineStr">
        <is>
          <t>Condição</t>
        </is>
      </c>
      <c r="B4" s="3" t="inlineStr">
        <is>
          <t>Proposta A</t>
        </is>
      </c>
      <c r="C4" s="3" t="inlineStr">
        <is>
          <t>Proposta B</t>
        </is>
      </c>
      <c r="D4" s="3" t="inlineStr">
        <is>
          <t>Proposta C</t>
        </is>
      </c>
    </row>
    <row r="5">
      <c r="A5" s="4" t="inlineStr">
        <is>
          <t>Valor do bem (R$)</t>
        </is>
      </c>
      <c r="B5" s="5" t="n">
        <v>180000</v>
      </c>
      <c r="C5" s="5" t="n">
        <v>180000</v>
      </c>
      <c r="D5" s="5" t="n">
        <v>180000</v>
      </c>
    </row>
    <row r="6">
      <c r="A6" s="4" t="inlineStr">
        <is>
          <t>Entrada (R$)</t>
        </is>
      </c>
      <c r="B6" s="5" t="n">
        <v>36000</v>
      </c>
      <c r="C6" s="5" t="n">
        <v>36000</v>
      </c>
      <c r="D6" s="5" t="n">
        <v>54000</v>
      </c>
    </row>
    <row r="7">
      <c r="A7" s="4" t="inlineStr">
        <is>
          <t>Juros ao mês</t>
        </is>
      </c>
      <c r="B7" s="6" t="n">
        <v>0.0105</v>
      </c>
      <c r="C7" s="6" t="n">
        <v>0.009900000000000001</v>
      </c>
      <c r="D7" s="6" t="n">
        <v>0.0092</v>
      </c>
    </row>
    <row r="8">
      <c r="A8" s="4" t="inlineStr">
        <is>
          <t>Prazo (meses)</t>
        </is>
      </c>
      <c r="B8" s="7" t="n">
        <v>360</v>
      </c>
      <c r="C8" s="7" t="n">
        <v>240</v>
      </c>
      <c r="D8" s="7" t="n">
        <v>180</v>
      </c>
    </row>
    <row r="9">
      <c r="A9" s="4" t="inlineStr">
        <is>
          <t>Sistema (Price ou SAC)</t>
        </is>
      </c>
      <c r="B9" s="8" t="inlineStr">
        <is>
          <t>Price</t>
        </is>
      </c>
      <c r="C9" s="8" t="inlineStr">
        <is>
          <t>Price</t>
        </is>
      </c>
      <c r="D9" s="8" t="inlineStr">
        <is>
          <t>SAC</t>
        </is>
      </c>
    </row>
    <row r="10">
      <c r="A10" s="4" t="inlineStr">
        <is>
          <t>Tarifas e seguros no total (R$)</t>
        </is>
      </c>
      <c r="B10" s="5" t="n">
        <v>3500</v>
      </c>
      <c r="C10" s="5" t="n">
        <v>3500</v>
      </c>
      <c r="D10" s="5" t="n">
        <v>4200</v>
      </c>
    </row>
    <row r="11"/>
    <row r="12">
      <c r="A12" s="9" t="inlineStr">
        <is>
          <t>Resultado</t>
        </is>
      </c>
    </row>
    <row r="13">
      <c r="A13" s="4" t="inlineStr">
        <is>
          <t>Valor financiado (R$)</t>
        </is>
      </c>
      <c r="B13" s="10">
        <f>B5-B6</f>
        <v>144000.0</v>
      </c>
      <c r="C13" s="10">
        <f>C5-C6</f>
        <v>144000.0</v>
      </c>
      <c r="D13" s="10">
        <f>D5-D6</f>
        <v>126000.0</v>
      </c>
    </row>
    <row r="14">
      <c r="A14" s="4" t="inlineStr">
        <is>
          <t>Juros ao ano (equivalente)</t>
        </is>
      </c>
      <c r="B14" s="11">
        <f>(1+B7)^12-1</f>
        <v>0.1335372965869026</v>
      </c>
      <c r="C14" s="11">
        <f>(1+C7)^12-1</f>
        <v>0.1254869569260173</v>
      </c>
      <c r="D14" s="11">
        <f>(1+D7)^12-1</f>
        <v>0.11616115026912555</v>
      </c>
    </row>
    <row r="15">
      <c r="A15" s="12" t="inlineStr">
        <is>
          <t>Primeira parcela (R$)</t>
        </is>
      </c>
      <c r="B15" s="13">
        <f>IF(B9="SAC",B13/B8+B13*B7,PMT(B7,B8,-B13))</f>
        <v>1548.033455850172</v>
      </c>
      <c r="C15" s="13">
        <f>IF(C9="SAC",C13/C8+C13*C7,PMT(C7,C8,-C13))</f>
        <v>1573.5335499392902</v>
      </c>
      <c r="D15" s="13">
        <f>IF(D9="SAC",D13/D8+D13*D7,PMT(D7,D8,-D13))</f>
        <v>1859.2</v>
      </c>
    </row>
    <row r="16">
      <c r="A16" s="4" t="inlineStr">
        <is>
          <t>Última parcela (R$)</t>
        </is>
      </c>
      <c r="B16" s="10">
        <f>IF(B9="SAC",B13/B8*(1+B7),PMT(B7,B8,-B13))</f>
        <v>1548.033455850172</v>
      </c>
      <c r="C16" s="10">
        <f>IF(C9="SAC",C13/C8*(1+C7),PMT(C7,C8,-C13))</f>
        <v>1573.5335499392902</v>
      </c>
      <c r="D16" s="10">
        <f>IF(D9="SAC",D13/D8*(1+D7),PMT(D7,D8,-D13))</f>
        <v>706.44</v>
      </c>
    </row>
    <row r="17">
      <c r="A17" s="4" t="inlineStr">
        <is>
          <t>Total pago em parcelas (R$)</t>
        </is>
      </c>
      <c r="B17" s="10">
        <f>IF(B9="SAC",B13+B13*B7*(B8+1)/2,B15*B8)</f>
        <v>557292.0441060619</v>
      </c>
      <c r="C17" s="10">
        <f>IF(C9="SAC",C13+C13*C7*(C8+1)/2,C15*C8)</f>
        <v>377648.05198542966</v>
      </c>
      <c r="D17" s="10">
        <f>IF(D9="SAC",D13+D13*D7*(D8+1)/2,D15*D8)</f>
        <v>230907.6</v>
      </c>
    </row>
    <row r="18">
      <c r="A18" s="4" t="inlineStr">
        <is>
          <t>Juros totais (R$)</t>
        </is>
      </c>
      <c r="B18" s="10">
        <f>B17-B13</f>
        <v>413292.0441060619</v>
      </c>
      <c r="C18" s="10">
        <f>C17-C13</f>
        <v>233648.05198542966</v>
      </c>
      <c r="D18" s="10">
        <f>D17-D13</f>
        <v>104907.6</v>
      </c>
    </row>
    <row r="19">
      <c r="A19" s="12" t="inlineStr">
        <is>
          <t>Custo total: entrada + parcelas + tarifas (R$)</t>
        </is>
      </c>
      <c r="B19" s="13">
        <f>B6+B17+B10</f>
        <v>596792.0441060619</v>
      </c>
      <c r="C19" s="13">
        <f>C6+C17+C10</f>
        <v>417148.05198542966</v>
      </c>
      <c r="D19" s="13">
        <f>D6+D17+D10</f>
        <v>289107.6</v>
      </c>
    </row>
    <row r="20">
      <c r="A20" s="4" t="inlineStr">
        <is>
          <t>Custo total acima do valor do bem (R$)</t>
        </is>
      </c>
      <c r="B20" s="10">
        <f>B19-B5</f>
        <v>416792.0441060619</v>
      </c>
      <c r="C20" s="10">
        <f>C19-C5</f>
        <v>237148.05198542966</v>
      </c>
      <c r="D20" s="10">
        <f>D19-D5</f>
        <v>109107.59999999998</v>
      </c>
    </row>
    <row r="21">
      <c r="A21" s="4" t="inlineStr">
        <is>
          <t>Parcela como % da renda (1ª parcela)</t>
        </is>
      </c>
      <c r="B21" s="14">
        <f>IF(N($B$24)=0,"",B15/$B$24)</f>
        <v>0.1720037173166858</v>
      </c>
      <c r="C21" s="14">
        <f>IF(N($B$24)=0,"",C15/$B$24)</f>
        <v>0.1748370611043656</v>
      </c>
      <c r="D21" s="14">
        <f>IF(N($B$24)=0,"",D15/$B$24)</f>
        <v>0.20657777777777778</v>
      </c>
    </row>
    <row r="22"/>
    <row r="23"/>
    <row r="24">
      <c r="A24" s="12" t="inlineStr">
        <is>
          <t>Renda mensal (R$) para comparar a parcela</t>
        </is>
      </c>
      <c r="B24" s="5" t="n">
        <v>9000</v>
      </c>
    </row>
    <row r="25"/>
    <row r="26">
      <c r="A26" s="12" t="inlineStr">
        <is>
          <t>Proposta de menor custo total</t>
        </is>
      </c>
      <c r="B26" s="15" t="str">
        <f>INDEX($B$4:$D$4,MATCH(MIN(B19:D19),B19:D19,0))</f>
        <v>Proposta C</v>
      </c>
    </row>
    <row r="27"/>
    <row r="28">
      <c r="A28" s="16" t="inlineStr">
        <is>
          <t>Price: parcelas iguais. SAC: amortização igual, parcelas que começam maiores e diminuem. Valores sem seguros, tarifas ou correção, a não ser o que você digitar em Tarifas.</t>
        </is>
      </c>
    </row>
    <row r="29">
      <c r="A29" s="16" t="inlineStr">
        <is>
          <t>O custo efetivo total (CET) do contrato inclui encargos que variam; peça o CET por escrito à instituição. Esta planilha é uma estimativa para comparar.</t>
        </is>
      </c>
    </row>
  </sheetData>
  <conditionalFormatting sqref="B19:D19">
    <cfRule type="expression" priority="1" dxfId="0">
      <formula>B19=MIN($B$19:$D$19)</formula>
    </cfRule>
  </conditionalFormatting>
  <dataValidations count="1">
    <dataValidation sqref="B9:D9" showDropDown="0" showInputMessage="0" showErrorMessage="0" allowBlank="1" type="list">
      <formula1>"Price,SAC"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I3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width="3" customWidth="1" min="7" max="7"/>
    <col width="24" customWidth="1" min="8" max="8"/>
    <col width="16" customWidth="1" min="9" max="9"/>
  </cols>
  <sheetData>
    <row r="1" ht="28" customHeight="1">
      <c r="A1" s="1" t="inlineStr">
        <is>
          <t>Tabela de amortização</t>
        </is>
      </c>
    </row>
    <row r="2">
      <c r="A2" s="2" t="inlineStr">
        <is>
          <t>Escolha a proposta (A, B ou C). A tabela mostra juros, amortização e saldo de cada mês, até 360 meses.</t>
        </is>
      </c>
    </row>
    <row r="3">
      <c r="A3" s="12" t="inlineStr">
        <is>
          <t>Proposta</t>
        </is>
      </c>
      <c r="B3" s="8" t="inlineStr">
        <is>
          <t>A</t>
        </is>
      </c>
      <c r="D3" s="12" t="inlineStr">
        <is>
          <t>Sistema</t>
        </is>
      </c>
      <c r="E3" s="15" t="str">
        <f>INDEX(Comparador!$B$9:$D$9,MATCH("Proposta "&amp;$B$3,Comparador!$B$4:$D$4,0))</f>
        <v>Price</v>
      </c>
    </row>
    <row r="4">
      <c r="A4" s="12" t="inlineStr">
        <is>
          <t>Financiado</t>
        </is>
      </c>
      <c r="B4" s="13">
        <f>INDEX(Comparador!$B$13:$D$13,MATCH("Proposta "&amp;$B$3,Comparador!$B$4:$D$4,0))</f>
        <v>144000.0</v>
      </c>
      <c r="C4" s="12" t="inlineStr">
        <is>
          <t>Prazo</t>
        </is>
      </c>
      <c r="D4" s="17">
        <f>INDEX(Comparador!$B$8:$D$8,MATCH("Proposta "&amp;$B$3,Comparador!$B$4:$D$4,0))</f>
        <v>360</v>
      </c>
      <c r="E4" s="12" t="inlineStr">
        <is>
          <t>Juros ao mês</t>
        </is>
      </c>
      <c r="F4" s="18">
        <f>INDEX(Comparador!$B$7:$D$7,MATCH("Proposta "&amp;$B$3,Comparador!$B$4:$D$4,0))</f>
        <v>0.0105</v>
      </c>
    </row>
    <row r="5"/>
    <row r="6" ht="30" customHeight="1">
      <c r="A6" s="3" t="inlineStr">
        <is>
          <t>Mês</t>
        </is>
      </c>
      <c r="B6" s="3" t="inlineStr">
        <is>
          <t>Saldo inicial</t>
        </is>
      </c>
      <c r="C6" s="3" t="inlineStr">
        <is>
          <t>Juros</t>
        </is>
      </c>
      <c r="D6" s="3" t="inlineStr">
        <is>
          <t>Amortização</t>
        </is>
      </c>
      <c r="E6" s="3" t="inlineStr">
        <is>
          <t>Parcela</t>
        </is>
      </c>
      <c r="F6" s="3" t="inlineStr">
        <is>
          <t>Saldo final</t>
        </is>
      </c>
      <c r="H6" s="12" t="inlineStr">
        <is>
          <t>Totais da tabela</t>
        </is>
      </c>
    </row>
    <row r="7">
      <c r="A7" s="19">
        <f>IF(1&lt;=$D$4,1,"")</f>
        <v>1</v>
      </c>
      <c r="B7" s="10">
        <f>IF(A7="","",$B$4)</f>
        <v>144000.0</v>
      </c>
      <c r="C7" s="10">
        <f>IF(A7="","",B7*$F$4)</f>
        <v>1512.0</v>
      </c>
      <c r="D7" s="10">
        <f>IF(A7="","",E7-C7)</f>
        <v>36.033455850172004</v>
      </c>
      <c r="E7" s="10">
        <f>IF(A7="","",IF($E$3="SAC",$B$4/$D$4+C7,PMT($F$4,$D$4,-$B$4)))</f>
        <v>1548.033455850172</v>
      </c>
      <c r="F7" s="10">
        <f>IF(A7="","",MAX(0,B7-D7))</f>
        <v>143963.96654414982</v>
      </c>
      <c r="H7" s="4" t="inlineStr">
        <is>
          <t>Total de juros</t>
        </is>
      </c>
      <c r="I7" s="13">
        <f>SUM(C7:C366)</f>
        <v>413292.04410605715</v>
      </c>
    </row>
    <row r="8">
      <c r="A8" s="19">
        <f>IF(2&lt;=$D$4,2,"")</f>
        <v>2</v>
      </c>
      <c r="B8" s="10">
        <f>IF(A8="","",F7)</f>
        <v>143963.96654414982</v>
      </c>
      <c r="C8" s="10">
        <f>IF(A8="","",B8*$F$4)</f>
        <v>1511.6216487135732</v>
      </c>
      <c r="D8" s="10">
        <f>IF(A8="","",E8-C8)</f>
        <v>36.41180713659878</v>
      </c>
      <c r="E8" s="10">
        <f>IF(A8="","",IF($E$3="SAC",$B$4/$D$4+C8,PMT($F$4,$D$4,-$B$4)))</f>
        <v>1548.033455850172</v>
      </c>
      <c r="F8" s="10">
        <f>IF(A8="","",MAX(0,B8-D8))</f>
        <v>143927.5547370132</v>
      </c>
      <c r="H8" s="4" t="inlineStr">
        <is>
          <t>Total de parcelas</t>
        </is>
      </c>
      <c r="I8" s="13">
        <f>SUM(E7:E366)</f>
        <v>557292.044106062</v>
      </c>
    </row>
    <row r="9">
      <c r="A9" s="19">
        <f>IF(3&lt;=$D$4,3,"")</f>
        <v>3</v>
      </c>
      <c r="B9" s="10">
        <f>IF(A9="","",F8)</f>
        <v>143927.5547370132</v>
      </c>
      <c r="C9" s="10">
        <f>IF(A9="","",B9*$F$4)</f>
        <v>1511.2393247386387</v>
      </c>
      <c r="D9" s="10">
        <f>IF(A9="","",E9-C9)</f>
        <v>36.79413111153326</v>
      </c>
      <c r="E9" s="10">
        <f>IF(A9="","",IF($E$3="SAC",$B$4/$D$4+C9,PMT($F$4,$D$4,-$B$4)))</f>
        <v>1548.033455850172</v>
      </c>
      <c r="F9" s="10">
        <f>IF(A9="","",MAX(0,B9-D9))</f>
        <v>143890.76060590168</v>
      </c>
      <c r="H9" s="4" t="inlineStr">
        <is>
          <t>Saldo final (deve ser zero)</t>
        </is>
      </c>
      <c r="I9" s="13">
        <f>INDEX(F7:F366,$D$4)</f>
        <v>0</v>
      </c>
    </row>
    <row r="10">
      <c r="A10" s="19">
        <f>IF(4&lt;=$D$4,4,"")</f>
        <v>4</v>
      </c>
      <c r="B10" s="10">
        <f>IF(A10="","",F9)</f>
        <v>143890.76060590168</v>
      </c>
      <c r="C10" s="10">
        <f>IF(A10="","",B10*$F$4)</f>
        <v>1510.8529863619679</v>
      </c>
      <c r="D10" s="10">
        <f>IF(A10="","",E10-C10)</f>
        <v>37.18046948820415</v>
      </c>
      <c r="E10" s="10">
        <f>IF(A10="","",IF($E$3="SAC",$B$4/$D$4+C10,PMT($F$4,$D$4,-$B$4)))</f>
        <v>1548.033455850172</v>
      </c>
      <c r="F10" s="10">
        <f>IF(A10="","",MAX(0,B10-D10))</f>
        <v>143853.58013641348</v>
      </c>
    </row>
    <row r="11">
      <c r="A11" s="19">
        <f>IF(5&lt;=$D$4,5,"")</f>
        <v>5</v>
      </c>
      <c r="B11" s="10">
        <f>IF(A11="","",F10)</f>
        <v>143853.58013641348</v>
      </c>
      <c r="C11" s="10">
        <f>IF(A11="","",B11*$F$4)</f>
        <v>1510.4625914323417</v>
      </c>
      <c r="D11" s="10">
        <f>IF(A11="","",E11-C11)</f>
        <v>37.57086441783031</v>
      </c>
      <c r="E11" s="10">
        <f>IF(A11="","",IF($E$3="SAC",$B$4/$D$4+C11,PMT($F$4,$D$4,-$B$4)))</f>
        <v>1548.033455850172</v>
      </c>
      <c r="F11" s="10">
        <f>IF(A11="","",MAX(0,B11-D11))</f>
        <v>143816.00927199566</v>
      </c>
    </row>
    <row r="12">
      <c r="A12" s="19">
        <f>IF(6&lt;=$D$4,6,"")</f>
        <v>6</v>
      </c>
      <c r="B12" s="10">
        <f>IF(A12="","",F11)</f>
        <v>143816.00927199566</v>
      </c>
      <c r="C12" s="10">
        <f>IF(A12="","",B12*$F$4)</f>
        <v>1510.0680973559545</v>
      </c>
      <c r="D12" s="10">
        <f>IF(A12="","",E12-C12)</f>
        <v>37.965358494217526</v>
      </c>
      <c r="E12" s="10">
        <f>IF(A12="","",IF($E$3="SAC",$B$4/$D$4+C12,PMT($F$4,$D$4,-$B$4)))</f>
        <v>1548.033455850172</v>
      </c>
      <c r="F12" s="10">
        <f>IF(A12="","",MAX(0,B12-D12))</f>
        <v>143778.04391350143</v>
      </c>
    </row>
    <row r="13">
      <c r="A13" s="19">
        <f>IF(7&lt;=$D$4,7,"")</f>
        <v>7</v>
      </c>
      <c r="B13" s="10">
        <f>IF(A13="","",F12)</f>
        <v>143778.04391350143</v>
      </c>
      <c r="C13" s="10">
        <f>IF(A13="","",B13*$F$4)</f>
        <v>1509.669461091765</v>
      </c>
      <c r="D13" s="10">
        <f>IF(A13="","",E13-C13)</f>
        <v>38.36399475840699</v>
      </c>
      <c r="E13" s="10">
        <f>IF(A13="","",IF($E$3="SAC",$B$4/$D$4+C13,PMT($F$4,$D$4,-$B$4)))</f>
        <v>1548.033455850172</v>
      </c>
      <c r="F13" s="10">
        <f>IF(A13="","",MAX(0,B13-D13))</f>
        <v>143739.67991874303</v>
      </c>
    </row>
    <row r="14">
      <c r="A14" s="19">
        <f>IF(8&lt;=$D$4,8,"")</f>
        <v>8</v>
      </c>
      <c r="B14" s="10">
        <f>IF(A14="","",F13)</f>
        <v>143739.67991874303</v>
      </c>
      <c r="C14" s="10">
        <f>IF(A14="","",B14*$F$4)</f>
        <v>1509.266639146802</v>
      </c>
      <c r="D14" s="10">
        <f>IF(A14="","",E14-C14)</f>
        <v>38.76681670337007</v>
      </c>
      <c r="E14" s="10">
        <f>IF(A14="","",IF($E$3="SAC",$B$4/$D$4+C14,PMT($F$4,$D$4,-$B$4)))</f>
        <v>1548.033455850172</v>
      </c>
      <c r="F14" s="10">
        <f>IF(A14="","",MAX(0,B14-D14))</f>
        <v>143700.91310203966</v>
      </c>
    </row>
    <row r="15">
      <c r="A15" s="19">
        <f>IF(9&lt;=$D$4,9,"")</f>
        <v>9</v>
      </c>
      <c r="B15" s="10">
        <f>IF(A15="","",F14)</f>
        <v>143700.91310203966</v>
      </c>
      <c r="C15" s="10">
        <f>IF(A15="","",B15*$F$4)</f>
        <v>1508.8595875714166</v>
      </c>
      <c r="D15" s="10">
        <f>IF(A15="","",E15-C15)</f>
        <v>39.173868278755435</v>
      </c>
      <c r="E15" s="10">
        <f>IF(A15="","",IF($E$3="SAC",$B$4/$D$4+C15,PMT($F$4,$D$4,-$B$4)))</f>
        <v>1548.033455850172</v>
      </c>
      <c r="F15" s="10">
        <f>IF(A15="","",MAX(0,B15-D15))</f>
        <v>143661.7392337609</v>
      </c>
    </row>
    <row r="16">
      <c r="A16" s="19">
        <f>IF(10&lt;=$D$4,10,"")</f>
        <v>10</v>
      </c>
      <c r="B16" s="10">
        <f>IF(A16="","",F15)</f>
        <v>143661.7392337609</v>
      </c>
      <c r="C16" s="10">
        <f>IF(A16="","",B16*$F$4)</f>
        <v>1508.4482619544895</v>
      </c>
      <c r="D16" s="10">
        <f>IF(A16="","",E16-C16)</f>
        <v>39.58519389568255</v>
      </c>
      <c r="E16" s="10">
        <f>IF(A16="","",IF($E$3="SAC",$B$4/$D$4+C16,PMT($F$4,$D$4,-$B$4)))</f>
        <v>1548.033455850172</v>
      </c>
      <c r="F16" s="10">
        <f>IF(A16="","",MAX(0,B16-D16))</f>
        <v>143622.1540398652</v>
      </c>
    </row>
    <row r="17">
      <c r="A17" s="19">
        <f>IF(11&lt;=$D$4,11,"")</f>
        <v>11</v>
      </c>
      <c r="B17" s="10">
        <f>IF(A17="","",F16)</f>
        <v>143622.1540398652</v>
      </c>
      <c r="C17" s="10">
        <f>IF(A17="","",B17*$F$4)</f>
        <v>1508.0326174185848</v>
      </c>
      <c r="D17" s="10">
        <f>IF(A17="","",E17-C17)</f>
        <v>40.000838431587226</v>
      </c>
      <c r="E17" s="10">
        <f>IF(A17="","",IF($E$3="SAC",$B$4/$D$4+C17,PMT($F$4,$D$4,-$B$4)))</f>
        <v>1548.033455850172</v>
      </c>
      <c r="F17" s="10">
        <f>IF(A17="","",MAX(0,B17-D17))</f>
        <v>143582.15320143363</v>
      </c>
    </row>
    <row r="18">
      <c r="A18" s="19">
        <f>IF(12&lt;=$D$4,12,"")</f>
        <v>12</v>
      </c>
      <c r="B18" s="10">
        <f>IF(A18="","",F17)</f>
        <v>143582.15320143363</v>
      </c>
      <c r="C18" s="10">
        <f>IF(A18="","",B18*$F$4)</f>
        <v>1507.6126086150532</v>
      </c>
      <c r="D18" s="10">
        <f>IF(A18="","",E18-C18)</f>
        <v>40.4208472351188</v>
      </c>
      <c r="E18" s="10">
        <f>IF(A18="","",IF($E$3="SAC",$B$4/$D$4+C18,PMT($F$4,$D$4,-$B$4)))</f>
        <v>1548.033455850172</v>
      </c>
      <c r="F18" s="10">
        <f>IF(A18="","",MAX(0,B18-D18))</f>
        <v>143541.7323541985</v>
      </c>
    </row>
    <row r="19">
      <c r="A19" s="19">
        <f>IF(13&lt;=$D$4,13,"")</f>
        <v>13</v>
      </c>
      <c r="B19" s="10">
        <f>IF(A19="","",F18)</f>
        <v>143541.7323541985</v>
      </c>
      <c r="C19" s="10">
        <f>IF(A19="","",B19*$F$4)</f>
        <v>1507.1881897190842</v>
      </c>
      <c r="D19" s="10">
        <f>IF(A19="","",E19-C19)</f>
        <v>40.84526613108778</v>
      </c>
      <c r="E19" s="10">
        <f>IF(A19="","",IF($E$3="SAC",$B$4/$D$4+C19,PMT($F$4,$D$4,-$B$4)))</f>
        <v>1548.033455850172</v>
      </c>
      <c r="F19" s="10">
        <f>IF(A19="","",MAX(0,B19-D19))</f>
        <v>143500.8870880674</v>
      </c>
    </row>
    <row r="20">
      <c r="A20" s="19">
        <f>IF(14&lt;=$D$4,14,"")</f>
        <v>14</v>
      </c>
      <c r="B20" s="10">
        <f>IF(A20="","",F19)</f>
        <v>143500.8870880674</v>
      </c>
      <c r="C20" s="10">
        <f>IF(A20="","",B20*$F$4)</f>
        <v>1506.7593144247078</v>
      </c>
      <c r="D20" s="10">
        <f>IF(A20="","",E20-C20)</f>
        <v>41.27414142546422</v>
      </c>
      <c r="E20" s="10">
        <f>IF(A20="","",IF($E$3="SAC",$B$4/$D$4+C20,PMT($F$4,$D$4,-$B$4)))</f>
        <v>1548.033455850172</v>
      </c>
      <c r="F20" s="10">
        <f>IF(A20="","",MAX(0,B20-D20))</f>
        <v>143459.61294664192</v>
      </c>
    </row>
    <row r="21">
      <c r="A21" s="19">
        <f>IF(15&lt;=$D$4,15,"")</f>
        <v>15</v>
      </c>
      <c r="B21" s="10">
        <f>IF(A21="","",F20)</f>
        <v>143459.61294664192</v>
      </c>
      <c r="C21" s="10">
        <f>IF(A21="","",B21*$F$4)</f>
        <v>1506.3259359397402</v>
      </c>
      <c r="D21" s="10">
        <f>IF(A21="","",E21-C21)</f>
        <v>41.707519910431756</v>
      </c>
      <c r="E21" s="10">
        <f>IF(A21="","",IF($E$3="SAC",$B$4/$D$4+C21,PMT($F$4,$D$4,-$B$4)))</f>
        <v>1548.033455850172</v>
      </c>
      <c r="F21" s="10">
        <f>IF(A21="","",MAX(0,B21-D21))</f>
        <v>143417.90542673148</v>
      </c>
    </row>
    <row r="22">
      <c r="A22" s="19">
        <f>IF(16&lt;=$D$4,16,"")</f>
        <v>16</v>
      </c>
      <c r="B22" s="10">
        <f>IF(A22="","",F21)</f>
        <v>143417.90542673148</v>
      </c>
      <c r="C22" s="10">
        <f>IF(A22="","",B22*$F$4)</f>
        <v>1505.8880069806805</v>
      </c>
      <c r="D22" s="10">
        <f>IF(A22="","",E22-C22)</f>
        <v>42.145448869491474</v>
      </c>
      <c r="E22" s="10">
        <f>IF(A22="","",IF($E$3="SAC",$B$4/$D$4+C22,PMT($F$4,$D$4,-$B$4)))</f>
        <v>1548.033455850172</v>
      </c>
      <c r="F22" s="10">
        <f>IF(A22="","",MAX(0,B22-D22))</f>
        <v>143375.75997786198</v>
      </c>
    </row>
    <row r="23">
      <c r="A23" s="19">
        <f>IF(17&lt;=$D$4,17,"")</f>
        <v>17</v>
      </c>
      <c r="B23" s="10">
        <f>IF(A23="","",F22)</f>
        <v>143375.75997786198</v>
      </c>
      <c r="C23" s="10">
        <f>IF(A23="","",B23*$F$4)</f>
        <v>1505.4454797675508</v>
      </c>
      <c r="D23" s="10">
        <f>IF(A23="","",E23-C23)</f>
        <v>42.58797608262125</v>
      </c>
      <c r="E23" s="10">
        <f>IF(A23="","",IF($E$3="SAC",$B$4/$D$4+C23,PMT($F$4,$D$4,-$B$4)))</f>
        <v>1548.033455850172</v>
      </c>
      <c r="F23" s="10">
        <f>IF(A23="","",MAX(0,B23-D23))</f>
        <v>143333.17200177934</v>
      </c>
    </row>
    <row r="24">
      <c r="A24" s="19">
        <f>IF(18&lt;=$D$4,18,"")</f>
        <v>18</v>
      </c>
      <c r="B24" s="10">
        <f>IF(A24="","",F23)</f>
        <v>143333.17200177934</v>
      </c>
      <c r="C24" s="10">
        <f>IF(A24="","",B24*$F$4)</f>
        <v>1504.9983060186833</v>
      </c>
      <c r="D24" s="10">
        <f>IF(A24="","",E24-C24)</f>
        <v>43.03514983148875</v>
      </c>
      <c r="E24" s="10">
        <f>IF(A24="","",IF($E$3="SAC",$B$4/$D$4+C24,PMT($F$4,$D$4,-$B$4)))</f>
        <v>1548.033455850172</v>
      </c>
      <c r="F24" s="10">
        <f>IF(A24="","",MAX(0,B24-D24))</f>
        <v>143290.13685194784</v>
      </c>
    </row>
    <row r="25">
      <c r="A25" s="19">
        <f>IF(19&lt;=$D$4,19,"")</f>
        <v>19</v>
      </c>
      <c r="B25" s="10">
        <f>IF(A25="","",F24)</f>
        <v>143290.13685194784</v>
      </c>
      <c r="C25" s="10">
        <f>IF(A25="","",B25*$F$4)</f>
        <v>1504.5464369454523</v>
      </c>
      <c r="D25" s="10">
        <f>IF(A25="","",E25-C25)</f>
        <v>43.48701890471966</v>
      </c>
      <c r="E25" s="10">
        <f>IF(A25="","",IF($E$3="SAC",$B$4/$D$4+C25,PMT($F$4,$D$4,-$B$4)))</f>
        <v>1548.033455850172</v>
      </c>
      <c r="F25" s="10">
        <f>IF(A25="","",MAX(0,B25-D25))</f>
        <v>143246.64983304314</v>
      </c>
    </row>
    <row r="26">
      <c r="A26" s="19">
        <f>IF(20&lt;=$D$4,20,"")</f>
        <v>20</v>
      </c>
      <c r="B26" s="10">
        <f>IF(A26="","",F25)</f>
        <v>143246.64983304314</v>
      </c>
      <c r="C26" s="10">
        <f>IF(A26="","",B26*$F$4)</f>
        <v>1504.089823246953</v>
      </c>
      <c r="D26" s="10">
        <f>IF(A26="","",E26-C26)</f>
        <v>43.94363260321893</v>
      </c>
      <c r="E26" s="10">
        <f>IF(A26="","",IF($E$3="SAC",$B$4/$D$4+C26,PMT($F$4,$D$4,-$B$4)))</f>
        <v>1548.033455850172</v>
      </c>
      <c r="F26" s="10">
        <f>IF(A26="","",MAX(0,B26-D26))</f>
        <v>143202.70620043992</v>
      </c>
    </row>
    <row r="27">
      <c r="A27" s="19">
        <f>IF(21&lt;=$D$4,21,"")</f>
        <v>21</v>
      </c>
      <c r="B27" s="10">
        <f>IF(A27="","",F26)</f>
        <v>143202.70620043992</v>
      </c>
      <c r="C27" s="10">
        <f>IF(A27="","",B27*$F$4)</f>
        <v>1503.6284151046193</v>
      </c>
      <c r="D27" s="10">
        <f>IF(A27="","",E27-C27)</f>
        <v>44.4050407455527</v>
      </c>
      <c r="E27" s="10">
        <f>IF(A27="","",IF($E$3="SAC",$B$4/$D$4+C27,PMT($F$4,$D$4,-$B$4)))</f>
        <v>1548.033455850172</v>
      </c>
      <c r="F27" s="10">
        <f>IF(A27="","",MAX(0,B27-D27))</f>
        <v>143158.30115969435</v>
      </c>
    </row>
    <row r="28">
      <c r="A28" s="19">
        <f>IF(22&lt;=$D$4,22,"")</f>
        <v>22</v>
      </c>
      <c r="B28" s="10">
        <f>IF(A28="","",F27)</f>
        <v>143158.30115969435</v>
      </c>
      <c r="C28" s="10">
        <f>IF(A28="","",B28*$F$4)</f>
        <v>1503.1621621767908</v>
      </c>
      <c r="D28" s="10">
        <f>IF(A28="","",E28-C28)</f>
        <v>44.87129367338116</v>
      </c>
      <c r="E28" s="10">
        <f>IF(A28="","",IF($E$3="SAC",$B$4/$D$4+C28,PMT($F$4,$D$4,-$B$4)))</f>
        <v>1548.033455850172</v>
      </c>
      <c r="F28" s="10">
        <f>IF(A28="","",MAX(0,B28-D28))</f>
        <v>143113.42986602098</v>
      </c>
    </row>
    <row r="29">
      <c r="A29" s="19">
        <f>IF(23&lt;=$D$4,23,"")</f>
        <v>23</v>
      </c>
      <c r="B29" s="10">
        <f>IF(A29="","",F28)</f>
        <v>143113.42986602098</v>
      </c>
      <c r="C29" s="10">
        <f>IF(A29="","",B29*$F$4)</f>
        <v>1502.6910135932203</v>
      </c>
      <c r="D29" s="10">
        <f>IF(A29="","",E29-C29)</f>
        <v>45.3424422569517</v>
      </c>
      <c r="E29" s="10">
        <f>IF(A29="","",IF($E$3="SAC",$B$4/$D$4+C29,PMT($F$4,$D$4,-$B$4)))</f>
        <v>1548.033455850172</v>
      </c>
      <c r="F29" s="10">
        <f>IF(A29="","",MAX(0,B29-D29))</f>
        <v>143068.08742376402</v>
      </c>
    </row>
    <row r="30">
      <c r="A30" s="19">
        <f>IF(24&lt;=$D$4,24,"")</f>
        <v>24</v>
      </c>
      <c r="B30" s="10">
        <f>IF(A30="","",F29)</f>
        <v>143068.08742376402</v>
      </c>
      <c r="C30" s="10">
        <f>IF(A30="","",B30*$F$4)</f>
        <v>1502.2149179495223</v>
      </c>
      <c r="D30" s="10">
        <f>IF(A30="","",E30-C30)</f>
        <v>45.818537900649744</v>
      </c>
      <c r="E30" s="10">
        <f>IF(A30="","",IF($E$3="SAC",$B$4/$D$4+C30,PMT($F$4,$D$4,-$B$4)))</f>
        <v>1548.033455850172</v>
      </c>
      <c r="F30" s="10">
        <f>IF(A30="","",MAX(0,B30-D30))</f>
        <v>143022.26888586336</v>
      </c>
    </row>
    <row r="31">
      <c r="A31" s="19">
        <f>IF(25&lt;=$D$4,25,"")</f>
        <v>25</v>
      </c>
      <c r="B31" s="10">
        <f>IF(A31="","",F30)</f>
        <v>143022.26888586336</v>
      </c>
      <c r="C31" s="10">
        <f>IF(A31="","",B31*$F$4)</f>
        <v>1501.7338233015655</v>
      </c>
      <c r="D31" s="10">
        <f>IF(A31="","",E31-C31)</f>
        <v>46.299632548606496</v>
      </c>
      <c r="E31" s="10">
        <f>IF(A31="","",IF($E$3="SAC",$B$4/$D$4+C31,PMT($F$4,$D$4,-$B$4)))</f>
        <v>1548.033455850172</v>
      </c>
      <c r="F31" s="10">
        <f>IF(A31="","",MAX(0,B31-D31))</f>
        <v>142975.96925331475</v>
      </c>
    </row>
    <row r="32">
      <c r="A32" s="19">
        <f>IF(26&lt;=$D$4,26,"")</f>
        <v>26</v>
      </c>
      <c r="B32" s="10">
        <f>IF(A32="","",F31)</f>
        <v>142975.96925331475</v>
      </c>
      <c r="C32" s="10">
        <f>IF(A32="","",B32*$F$4)</f>
        <v>1501.2476771598049</v>
      </c>
      <c r="D32" s="10">
        <f>IF(A32="","",E32-C32)</f>
        <v>46.785778690367124</v>
      </c>
      <c r="E32" s="10">
        <f>IF(A32="","",IF($E$3="SAC",$B$4/$D$4+C32,PMT($F$4,$D$4,-$B$4)))</f>
        <v>1548.033455850172</v>
      </c>
      <c r="F32" s="10">
        <f>IF(A32="","",MAX(0,B32-D32))</f>
        <v>142929.18347462438</v>
      </c>
    </row>
    <row r="33">
      <c r="A33" s="19">
        <f>IF(27&lt;=$D$4,27,"")</f>
        <v>27</v>
      </c>
      <c r="B33" s="10">
        <f>IF(A33="","",F32)</f>
        <v>142929.18347462438</v>
      </c>
      <c r="C33" s="10">
        <f>IF(A33="","",B33*$F$4)</f>
        <v>1500.7564264835562</v>
      </c>
      <c r="D33" s="10">
        <f>IF(A33="","",E33-C33)</f>
        <v>47.27702936661581</v>
      </c>
      <c r="E33" s="10">
        <f>IF(A33="","",IF($E$3="SAC",$B$4/$D$4+C33,PMT($F$4,$D$4,-$B$4)))</f>
        <v>1548.033455850172</v>
      </c>
      <c r="F33" s="10">
        <f>IF(A33="","",MAX(0,B33-D33))</f>
        <v>142881.90644525777</v>
      </c>
    </row>
    <row r="34">
      <c r="A34" s="19">
        <f>IF(28&lt;=$D$4,28,"")</f>
        <v>28</v>
      </c>
      <c r="B34" s="10">
        <f>IF(A34="","",F33)</f>
        <v>142881.90644525777</v>
      </c>
      <c r="C34" s="10">
        <f>IF(A34="","",B34*$F$4)</f>
        <v>1500.2600176752067</v>
      </c>
      <c r="D34" s="10">
        <f>IF(A34="","",E34-C34)</f>
        <v>47.77343817496535</v>
      </c>
      <c r="E34" s="10">
        <f>IF(A34="","",IF($E$3="SAC",$B$4/$D$4+C34,PMT($F$4,$D$4,-$B$4)))</f>
        <v>1548.033455850172</v>
      </c>
      <c r="F34" s="10">
        <f>IF(A34="","",MAX(0,B34-D34))</f>
        <v>142834.1330070828</v>
      </c>
    </row>
    <row r="35">
      <c r="A35" s="19">
        <f>IF(29&lt;=$D$4,29,"")</f>
        <v>29</v>
      </c>
      <c r="B35" s="10">
        <f>IF(A35="","",F34)</f>
        <v>142834.1330070828</v>
      </c>
      <c r="C35" s="10">
        <f>IF(A35="","",B35*$F$4)</f>
        <v>1499.7583965743695</v>
      </c>
      <c r="D35" s="10">
        <f>IF(A35="","",E35-C35)</f>
        <v>48.275059275802505</v>
      </c>
      <c r="E35" s="10">
        <f>IF(A35="","",IF($E$3="SAC",$B$4/$D$4+C35,PMT($F$4,$D$4,-$B$4)))</f>
        <v>1548.033455850172</v>
      </c>
      <c r="F35" s="10">
        <f>IF(A35="","",MAX(0,B35-D35))</f>
        <v>142785.857947807</v>
      </c>
    </row>
    <row r="36">
      <c r="A36" s="19">
        <f>IF(30&lt;=$D$4,30,"")</f>
        <v>30</v>
      </c>
      <c r="B36" s="10">
        <f>IF(A36="","",F35)</f>
        <v>142785.857947807</v>
      </c>
      <c r="C36" s="10">
        <f>IF(A36="","",B36*$F$4)</f>
        <v>1499.2515084519737</v>
      </c>
      <c r="D36" s="10">
        <f>IF(A36="","",E36-C36)</f>
        <v>48.78194739819833</v>
      </c>
      <c r="E36" s="10">
        <f>IF(A36="","",IF($E$3="SAC",$B$4/$D$4+C36,PMT($F$4,$D$4,-$B$4)))</f>
        <v>1548.033455850172</v>
      </c>
      <c r="F36" s="10">
        <f>IF(A36="","",MAX(0,B36-D36))</f>
        <v>142737.0760004088</v>
      </c>
    </row>
    <row r="37">
      <c r="A37" s="19">
        <f>IF(31&lt;=$D$4,31,"")</f>
        <v>31</v>
      </c>
      <c r="B37" s="10">
        <f>IF(A37="","",F36)</f>
        <v>142737.0760004088</v>
      </c>
      <c r="C37" s="10">
        <f>IF(A37="","",B37*$F$4)</f>
        <v>1498.7392980042923</v>
      </c>
      <c r="D37" s="10">
        <f>IF(A37="","",E37-C37)</f>
        <v>49.29415784587968</v>
      </c>
      <c r="E37" s="10">
        <f>IF(A37="","",IF($E$3="SAC",$B$4/$D$4+C37,PMT($F$4,$D$4,-$B$4)))</f>
        <v>1548.033455850172</v>
      </c>
      <c r="F37" s="10">
        <f>IF(A37="","",MAX(0,B37-D37))</f>
        <v>142687.78184256292</v>
      </c>
    </row>
    <row r="38">
      <c r="A38" s="19">
        <f>IF(32&lt;=$D$4,32,"")</f>
        <v>32</v>
      </c>
      <c r="B38" s="10">
        <f>IF(A38="","",F37)</f>
        <v>142687.78184256292</v>
      </c>
      <c r="C38" s="10">
        <f>IF(A38="","",B38*$F$4)</f>
        <v>1498.2217093469108</v>
      </c>
      <c r="D38" s="10">
        <f>IF(A38="","",E38-C38)</f>
        <v>49.81174650326125</v>
      </c>
      <c r="E38" s="10">
        <f>IF(A38="","",IF($E$3="SAC",$B$4/$D$4+C38,PMT($F$4,$D$4,-$B$4)))</f>
        <v>1548.033455850172</v>
      </c>
      <c r="F38" s="10">
        <f>IF(A38="","",MAX(0,B38-D38))</f>
        <v>142637.97009605967</v>
      </c>
    </row>
    <row r="39">
      <c r="A39" s="19">
        <f>IF(33&lt;=$D$4,33,"")</f>
        <v>33</v>
      </c>
      <c r="B39" s="10">
        <f>IF(A39="","",F38)</f>
        <v>142637.97009605967</v>
      </c>
      <c r="C39" s="10">
        <f>IF(A39="","",B39*$F$4)</f>
        <v>1497.6986860086265</v>
      </c>
      <c r="D39" s="10">
        <f>IF(A39="","",E39-C39)</f>
        <v>50.334769841545494</v>
      </c>
      <c r="E39" s="10">
        <f>IF(A39="","",IF($E$3="SAC",$B$4/$D$4+C39,PMT($F$4,$D$4,-$B$4)))</f>
        <v>1548.033455850172</v>
      </c>
      <c r="F39" s="10">
        <f>IF(A39="","",MAX(0,B39-D39))</f>
        <v>142587.63532621812</v>
      </c>
    </row>
    <row r="40">
      <c r="A40" s="19">
        <f>IF(34&lt;=$D$4,34,"")</f>
        <v>34</v>
      </c>
      <c r="B40" s="10">
        <f>IF(A40="","",F39)</f>
        <v>142587.63532621812</v>
      </c>
      <c r="C40" s="10">
        <f>IF(A40="","",B40*$F$4)</f>
        <v>1497.1701709252904</v>
      </c>
      <c r="D40" s="10">
        <f>IF(A40="","",E40-C40)</f>
        <v>50.863284924881555</v>
      </c>
      <c r="E40" s="10">
        <f>IF(A40="","",IF($E$3="SAC",$B$4/$D$4+C40,PMT($F$4,$D$4,-$B$4)))</f>
        <v>1548.033455850172</v>
      </c>
      <c r="F40" s="10">
        <f>IF(A40="","",MAX(0,B40-D40))</f>
        <v>142536.77204129324</v>
      </c>
    </row>
    <row r="41">
      <c r="A41" s="19">
        <f>IF(35&lt;=$D$4,35,"")</f>
        <v>35</v>
      </c>
      <c r="B41" s="10">
        <f>IF(A41="","",F40)</f>
        <v>142536.77204129324</v>
      </c>
      <c r="C41" s="10">
        <f>IF(A41="","",B41*$F$4)</f>
        <v>1496.636106433579</v>
      </c>
      <c r="D41" s="10">
        <f>IF(A41="","",E41-C41)</f>
        <v>51.39734941659299</v>
      </c>
      <c r="E41" s="10">
        <f>IF(A41="","",IF($E$3="SAC",$B$4/$D$4+C41,PMT($F$4,$D$4,-$B$4)))</f>
        <v>1548.033455850172</v>
      </c>
      <c r="F41" s="10">
        <f>IF(A41="","",MAX(0,B41-D41))</f>
        <v>142485.37469187664</v>
      </c>
    </row>
    <row r="42">
      <c r="A42" s="19">
        <f>IF(36&lt;=$D$4,36,"")</f>
        <v>36</v>
      </c>
      <c r="B42" s="10">
        <f>IF(A42="","",F41)</f>
        <v>142485.37469187664</v>
      </c>
      <c r="C42" s="10">
        <f>IF(A42="","",B42*$F$4)</f>
        <v>1496.0964342647048</v>
      </c>
      <c r="D42" s="10">
        <f>IF(A42="","",E42-C42)</f>
        <v>51.937021585467164</v>
      </c>
      <c r="E42" s="10">
        <f>IF(A42="","",IF($E$3="SAC",$B$4/$D$4+C42,PMT($F$4,$D$4,-$B$4)))</f>
        <v>1548.033455850172</v>
      </c>
      <c r="F42" s="10">
        <f>IF(A42="","",MAX(0,B42-D42))</f>
        <v>142433.43767029117</v>
      </c>
    </row>
    <row r="43">
      <c r="A43" s="19">
        <f>IF(37&lt;=$D$4,37,"")</f>
        <v>37</v>
      </c>
      <c r="B43" s="10">
        <f>IF(A43="","",F42)</f>
        <v>142433.43767029117</v>
      </c>
      <c r="C43" s="10">
        <f>IF(A43="","",B43*$F$4)</f>
        <v>1495.5510955380573</v>
      </c>
      <c r="D43" s="10">
        <f>IF(A43="","",E43-C43)</f>
        <v>52.48236031211468</v>
      </c>
      <c r="E43" s="10">
        <f>IF(A43="","",IF($E$3="SAC",$B$4/$D$4+C43,PMT($F$4,$D$4,-$B$4)))</f>
        <v>1548.033455850172</v>
      </c>
      <c r="F43" s="10">
        <f>IF(A43="","",MAX(0,B43-D43))</f>
        <v>142380.95530997906</v>
      </c>
    </row>
    <row r="44">
      <c r="A44" s="19">
        <f>IF(38&lt;=$D$4,38,"")</f>
        <v>38</v>
      </c>
      <c r="B44" s="10">
        <f>IF(A44="","",F43)</f>
        <v>142380.95530997906</v>
      </c>
      <c r="C44" s="10">
        <f>IF(A44="","",B44*$F$4)</f>
        <v>1495.0000307547803</v>
      </c>
      <c r="D44" s="10">
        <f>IF(A44="","",E44-C44)</f>
        <v>53.03342509539175</v>
      </c>
      <c r="E44" s="10">
        <f>IF(A44="","",IF($E$3="SAC",$B$4/$D$4+C44,PMT($F$4,$D$4,-$B$4)))</f>
        <v>1548.033455850172</v>
      </c>
      <c r="F44" s="10">
        <f>IF(A44="","",MAX(0,B44-D44))</f>
        <v>142327.92188488366</v>
      </c>
    </row>
    <row r="45">
      <c r="A45" s="19">
        <f>IF(39&lt;=$D$4,39,"")</f>
        <v>39</v>
      </c>
      <c r="B45" s="10">
        <f>IF(A45="","",F44)</f>
        <v>142327.92188488366</v>
      </c>
      <c r="C45" s="10">
        <f>IF(A45="","",B45*$F$4)</f>
        <v>1494.4431797912785</v>
      </c>
      <c r="D45" s="10">
        <f>IF(A45="","",E45-C45)</f>
        <v>53.59027605889355</v>
      </c>
      <c r="E45" s="10">
        <f>IF(A45="","",IF($E$3="SAC",$B$4/$D$4+C45,PMT($F$4,$D$4,-$B$4)))</f>
        <v>1548.033455850172</v>
      </c>
      <c r="F45" s="10">
        <f>IF(A45="","",MAX(0,B45-D45))</f>
        <v>142274.33160882478</v>
      </c>
    </row>
    <row r="46">
      <c r="A46" s="19">
        <f>IF(40&lt;=$D$4,40,"")</f>
        <v>40</v>
      </c>
      <c r="B46" s="10">
        <f>IF(A46="","",F45)</f>
        <v>142274.33160882478</v>
      </c>
      <c r="C46" s="10">
        <f>IF(A46="","",B46*$F$4)</f>
        <v>1493.8804818926603</v>
      </c>
      <c r="D46" s="10">
        <f>IF(A46="","",E46-C46)</f>
        <v>54.152973957511676</v>
      </c>
      <c r="E46" s="10">
        <f>IF(A46="","",IF($E$3="SAC",$B$4/$D$4+C46,PMT($F$4,$D$4,-$B$4)))</f>
        <v>1548.033455850172</v>
      </c>
      <c r="F46" s="10">
        <f>IF(A46="","",MAX(0,B46-D46))</f>
        <v>142220.17863486728</v>
      </c>
    </row>
    <row r="47">
      <c r="A47" s="19">
        <f>IF(41&lt;=$D$4,41,"")</f>
        <v>41</v>
      </c>
      <c r="B47" s="10">
        <f>IF(A47="","",F46)</f>
        <v>142220.17863486728</v>
      </c>
      <c r="C47" s="10">
        <f>IF(A47="","",B47*$F$4)</f>
        <v>1493.3118756661065</v>
      </c>
      <c r="D47" s="10">
        <f>IF(A47="","",E47-C47)</f>
        <v>54.72158018406549</v>
      </c>
      <c r="E47" s="10">
        <f>IF(A47="","",IF($E$3="SAC",$B$4/$D$4+C47,PMT($F$4,$D$4,-$B$4)))</f>
        <v>1548.033455850172</v>
      </c>
      <c r="F47" s="10">
        <f>IF(A47="","",MAX(0,B47-D47))</f>
        <v>142165.4570546832</v>
      </c>
    </row>
    <row r="48">
      <c r="A48" s="19">
        <f>IF(42&lt;=$D$4,42,"")</f>
        <v>42</v>
      </c>
      <c r="B48" s="10">
        <f>IF(A48="","",F47)</f>
        <v>142165.4570546832</v>
      </c>
      <c r="C48" s="10">
        <f>IF(A48="","",B48*$F$4)</f>
        <v>1492.7372990741737</v>
      </c>
      <c r="D48" s="10">
        <f>IF(A48="","",E48-C48)</f>
        <v>55.29615677599827</v>
      </c>
      <c r="E48" s="10">
        <f>IF(A48="","",IF($E$3="SAC",$B$4/$D$4+C48,PMT($F$4,$D$4,-$B$4)))</f>
        <v>1548.033455850172</v>
      </c>
      <c r="F48" s="10">
        <f>IF(A48="","",MAX(0,B48-D48))</f>
        <v>142110.16089790722</v>
      </c>
    </row>
    <row r="49">
      <c r="A49" s="19">
        <f>IF(43&lt;=$D$4,43,"")</f>
        <v>43</v>
      </c>
      <c r="B49" s="10">
        <f>IF(A49="","",F48)</f>
        <v>142110.16089790722</v>
      </c>
      <c r="C49" s="10">
        <f>IF(A49="","",B49*$F$4)</f>
        <v>1492.1566894280259</v>
      </c>
      <c r="D49" s="10">
        <f>IF(A49="","",E49-C49)</f>
        <v>55.87676642214615</v>
      </c>
      <c r="E49" s="10">
        <f>IF(A49="","",IF($E$3="SAC",$B$4/$D$4+C49,PMT($F$4,$D$4,-$B$4)))</f>
        <v>1548.033455850172</v>
      </c>
      <c r="F49" s="10">
        <f>IF(A49="","",MAX(0,B49-D49))</f>
        <v>142054.28413148507</v>
      </c>
    </row>
    <row r="50">
      <c r="A50" s="19">
        <f>IF(44&lt;=$D$4,44,"")</f>
        <v>44</v>
      </c>
      <c r="B50" s="10">
        <f>IF(A50="","",F49)</f>
        <v>142054.28413148507</v>
      </c>
      <c r="C50" s="10">
        <f>IF(A50="","",B50*$F$4)</f>
        <v>1491.5699833805934</v>
      </c>
      <c r="D50" s="10">
        <f>IF(A50="","",E50-C50)</f>
        <v>56.46347246957862</v>
      </c>
      <c r="E50" s="10">
        <f>IF(A50="","",IF($E$3="SAC",$B$4/$D$4+C50,PMT($F$4,$D$4,-$B$4)))</f>
        <v>1548.033455850172</v>
      </c>
      <c r="F50" s="10">
        <f>IF(A50="","",MAX(0,B50-D50))</f>
        <v>141997.8206590155</v>
      </c>
    </row>
    <row r="51">
      <c r="A51" s="19">
        <f>IF(45&lt;=$D$4,45,"")</f>
        <v>45</v>
      </c>
      <c r="B51" s="10">
        <f>IF(A51="","",F50)</f>
        <v>141997.8206590155</v>
      </c>
      <c r="C51" s="10">
        <f>IF(A51="","",B51*$F$4)</f>
        <v>1490.9771169196629</v>
      </c>
      <c r="D51" s="10">
        <f>IF(A51="","",E51-C51)</f>
        <v>57.05633893050913</v>
      </c>
      <c r="E51" s="10">
        <f>IF(A51="","",IF($E$3="SAC",$B$4/$D$4+C51,PMT($F$4,$D$4,-$B$4)))</f>
        <v>1548.033455850172</v>
      </c>
      <c r="F51" s="10">
        <f>IF(A51="","",MAX(0,B51-D51))</f>
        <v>141940.764320085</v>
      </c>
    </row>
    <row r="52">
      <c r="A52" s="19">
        <f>IF(46&lt;=$D$4,46,"")</f>
        <v>46</v>
      </c>
      <c r="B52" s="10">
        <f>IF(A52="","",F51)</f>
        <v>141940.764320085</v>
      </c>
      <c r="C52" s="10">
        <f>IF(A52="","",B52*$F$4)</f>
        <v>1490.3780253608925</v>
      </c>
      <c r="D52" s="10">
        <f>IF(A52="","",E52-C52)</f>
        <v>57.655430489279524</v>
      </c>
      <c r="E52" s="10">
        <f>IF(A52="","",IF($E$3="SAC",$B$4/$D$4+C52,PMT($F$4,$D$4,-$B$4)))</f>
        <v>1548.033455850172</v>
      </c>
      <c r="F52" s="10">
        <f>IF(A52="","",MAX(0,B52-D52))</f>
        <v>141883.10888959572</v>
      </c>
    </row>
    <row r="53">
      <c r="A53" s="19">
        <f>IF(47&lt;=$D$4,47,"")</f>
        <v>47</v>
      </c>
      <c r="B53" s="10">
        <f>IF(A53="","",F52)</f>
        <v>141883.10888959572</v>
      </c>
      <c r="C53" s="10">
        <f>IF(A53="","",B53*$F$4)</f>
        <v>1489.7726433407552</v>
      </c>
      <c r="D53" s="10">
        <f>IF(A53="","",E53-C53)</f>
        <v>58.26081250941684</v>
      </c>
      <c r="E53" s="10">
        <f>IF(A53="","",IF($E$3="SAC",$B$4/$D$4+C53,PMT($F$4,$D$4,-$B$4)))</f>
        <v>1548.033455850172</v>
      </c>
      <c r="F53" s="10">
        <f>IF(A53="","",MAX(0,B53-D53))</f>
        <v>141824.8480770863</v>
      </c>
    </row>
    <row r="54">
      <c r="A54" s="19">
        <f>IF(48&lt;=$D$4,48,"")</f>
        <v>48</v>
      </c>
      <c r="B54" s="10">
        <f>IF(A54="","",F53)</f>
        <v>141824.8480770863</v>
      </c>
      <c r="C54" s="10">
        <f>IF(A54="","",B54*$F$4)</f>
        <v>1489.1609048094062</v>
      </c>
      <c r="D54" s="10">
        <f>IF(A54="","",E54-C54)</f>
        <v>58.87255104076576</v>
      </c>
      <c r="E54" s="10">
        <f>IF(A54="","",IF($E$3="SAC",$B$4/$D$4+C54,PMT($F$4,$D$4,-$B$4)))</f>
        <v>1548.033455850172</v>
      </c>
      <c r="F54" s="10">
        <f>IF(A54="","",MAX(0,B54-D54))</f>
        <v>141765.97552604554</v>
      </c>
    </row>
    <row r="55">
      <c r="A55" s="19">
        <f>IF(49&lt;=$D$4,49,"")</f>
        <v>49</v>
      </c>
      <c r="B55" s="10">
        <f>IF(A55="","",F54)</f>
        <v>141765.97552604554</v>
      </c>
      <c r="C55" s="10">
        <f>IF(A55="","",B55*$F$4)</f>
        <v>1488.5427430234784</v>
      </c>
      <c r="D55" s="10">
        <f>IF(A55="","",E55-C55)</f>
        <v>59.49071282669365</v>
      </c>
      <c r="E55" s="10">
        <f>IF(A55="","",IF($E$3="SAC",$B$4/$D$4+C55,PMT($F$4,$D$4,-$B$4)))</f>
        <v>1548.033455850172</v>
      </c>
      <c r="F55" s="10">
        <f>IF(A55="","",MAX(0,B55-D55))</f>
        <v>141706.48481321885</v>
      </c>
    </row>
    <row r="56">
      <c r="A56" s="19">
        <f>IF(50&lt;=$D$4,50,"")</f>
        <v>50</v>
      </c>
      <c r="B56" s="10">
        <f>IF(A56="","",F55)</f>
        <v>141706.48481321885</v>
      </c>
      <c r="C56" s="10">
        <f>IF(A56="","",B56*$F$4)</f>
        <v>1487.918090538798</v>
      </c>
      <c r="D56" s="10">
        <f>IF(A56="","",E56-C56)</f>
        <v>60.115365311374035</v>
      </c>
      <c r="E56" s="10">
        <f>IF(A56="","",IF($E$3="SAC",$B$4/$D$4+C56,PMT($F$4,$D$4,-$B$4)))</f>
        <v>1548.033455850172</v>
      </c>
      <c r="F56" s="10">
        <f>IF(A56="","",MAX(0,B56-D56))</f>
        <v>141646.36944790746</v>
      </c>
    </row>
    <row r="57">
      <c r="A57" s="19">
        <f>IF(51&lt;=$D$4,51,"")</f>
        <v>51</v>
      </c>
      <c r="B57" s="10">
        <f>IF(A57="","",F56)</f>
        <v>141646.36944790746</v>
      </c>
      <c r="C57" s="10">
        <f>IF(A57="","",B57*$F$4)</f>
        <v>1487.2868792030285</v>
      </c>
      <c r="D57" s="10">
        <f>IF(A57="","",E57-C57)</f>
        <v>60.746576647143456</v>
      </c>
      <c r="E57" s="10">
        <f>IF(A57="","",IF($E$3="SAC",$B$4/$D$4+C57,PMT($F$4,$D$4,-$B$4)))</f>
        <v>1548.033455850172</v>
      </c>
      <c r="F57" s="10">
        <f>IF(A57="","",MAX(0,B57-D57))</f>
        <v>141585.6228712603</v>
      </c>
    </row>
    <row r="58">
      <c r="A58" s="19">
        <f>IF(52&lt;=$D$4,52,"")</f>
        <v>52</v>
      </c>
      <c r="B58" s="10">
        <f>IF(A58="","",F57)</f>
        <v>141585.6228712603</v>
      </c>
      <c r="C58" s="10">
        <f>IF(A58="","",B58*$F$4)</f>
        <v>1486.6490401482333</v>
      </c>
      <c r="D58" s="10">
        <f>IF(A58="","",E58-C58)</f>
        <v>61.38441570193868</v>
      </c>
      <c r="E58" s="10">
        <f>IF(A58="","",IF($E$3="SAC",$B$4/$D$4+C58,PMT($F$4,$D$4,-$B$4)))</f>
        <v>1548.033455850172</v>
      </c>
      <c r="F58" s="10">
        <f>IF(A58="","",MAX(0,B58-D58))</f>
        <v>141524.23845555837</v>
      </c>
    </row>
    <row r="59">
      <c r="A59" s="19">
        <f>IF(53&lt;=$D$4,53,"")</f>
        <v>53</v>
      </c>
      <c r="B59" s="10">
        <f>IF(A59="","",F58)</f>
        <v>141524.23845555837</v>
      </c>
      <c r="C59" s="10">
        <f>IF(A59="","",B59*$F$4)</f>
        <v>1486.004503783363</v>
      </c>
      <c r="D59" s="10">
        <f>IF(A59="","",E59-C59)</f>
        <v>62.0289520668091</v>
      </c>
      <c r="E59" s="10">
        <f>IF(A59="","",IF($E$3="SAC",$B$4/$D$4+C59,PMT($F$4,$D$4,-$B$4)))</f>
        <v>1548.033455850172</v>
      </c>
      <c r="F59" s="10">
        <f>IF(A59="","",MAX(0,B59-D59))</f>
        <v>141462.20950349155</v>
      </c>
    </row>
    <row r="60">
      <c r="A60" s="19">
        <f>IF(54&lt;=$D$4,54,"")</f>
        <v>54</v>
      </c>
      <c r="B60" s="10">
        <f>IF(A60="","",F59)</f>
        <v>141462.20950349155</v>
      </c>
      <c r="C60" s="10">
        <f>IF(A60="","",B60*$F$4)</f>
        <v>1485.3531997866614</v>
      </c>
      <c r="D60" s="10">
        <f>IF(A60="","",E60-C60)</f>
        <v>62.68025606351057</v>
      </c>
      <c r="E60" s="10">
        <f>IF(A60="","",IF($E$3="SAC",$B$4/$D$4+C60,PMT($F$4,$D$4,-$B$4)))</f>
        <v>1548.033455850172</v>
      </c>
      <c r="F60" s="10">
        <f>IF(A60="","",MAX(0,B60-D60))</f>
        <v>141399.52924742806</v>
      </c>
    </row>
    <row r="61">
      <c r="A61" s="19">
        <f>IF(55&lt;=$D$4,55,"")</f>
        <v>55</v>
      </c>
      <c r="B61" s="10">
        <f>IF(A61="","",F60)</f>
        <v>141399.52924742806</v>
      </c>
      <c r="C61" s="10">
        <f>IF(A61="","",B61*$F$4)</f>
        <v>1484.6950570979948</v>
      </c>
      <c r="D61" s="10">
        <f>IF(A61="","",E61-C61)</f>
        <v>63.33839875217723</v>
      </c>
      <c r="E61" s="10">
        <f>IF(A61="","",IF($E$3="SAC",$B$4/$D$4+C61,PMT($F$4,$D$4,-$B$4)))</f>
        <v>1548.033455850172</v>
      </c>
      <c r="F61" s="10">
        <f>IF(A61="","",MAX(0,B61-D61))</f>
        <v>141336.19084867588</v>
      </c>
    </row>
    <row r="62">
      <c r="A62" s="19">
        <f>IF(56&lt;=$D$4,56,"")</f>
        <v>56</v>
      </c>
      <c r="B62" s="10">
        <f>IF(A62="","",F61)</f>
        <v>141336.19084867588</v>
      </c>
      <c r="C62" s="10">
        <f>IF(A62="","",B62*$F$4)</f>
        <v>1484.0300039110969</v>
      </c>
      <c r="D62" s="10">
        <f>IF(A62="","",E62-C62)</f>
        <v>64.00345193907515</v>
      </c>
      <c r="E62" s="10">
        <f>IF(A62="","",IF($E$3="SAC",$B$4/$D$4+C62,PMT($F$4,$D$4,-$B$4)))</f>
        <v>1548.033455850172</v>
      </c>
      <c r="F62" s="10">
        <f>IF(A62="","",MAX(0,B62-D62))</f>
        <v>141272.18739673682</v>
      </c>
    </row>
    <row r="63">
      <c r="A63" s="19">
        <f>IF(57&lt;=$D$4,57,"")</f>
        <v>57</v>
      </c>
      <c r="B63" s="10">
        <f>IF(A63="","",F62)</f>
        <v>141272.18739673682</v>
      </c>
      <c r="C63" s="10">
        <f>IF(A63="","",B63*$F$4)</f>
        <v>1483.3579676657366</v>
      </c>
      <c r="D63" s="10">
        <f>IF(A63="","",E63-C63)</f>
        <v>64.67548818443538</v>
      </c>
      <c r="E63" s="10">
        <f>IF(A63="","",IF($E$3="SAC",$B$4/$D$4+C63,PMT($F$4,$D$4,-$B$4)))</f>
        <v>1548.033455850172</v>
      </c>
      <c r="F63" s="10">
        <f>IF(A63="","",MAX(0,B63-D63))</f>
        <v>141207.51190855238</v>
      </c>
    </row>
    <row r="64">
      <c r="A64" s="19">
        <f>IF(58&lt;=$D$4,58,"")</f>
        <v>58</v>
      </c>
      <c r="B64" s="10">
        <f>IF(A64="","",F63)</f>
        <v>141207.51190855238</v>
      </c>
      <c r="C64" s="10">
        <f>IF(A64="","",B64*$F$4)</f>
        <v>1482.6788750398</v>
      </c>
      <c r="D64" s="10">
        <f>IF(A64="","",E64-C64)</f>
        <v>65.354580810372</v>
      </c>
      <c r="E64" s="10">
        <f>IF(A64="","",IF($E$3="SAC",$B$4/$D$4+C64,PMT($F$4,$D$4,-$B$4)))</f>
        <v>1548.033455850172</v>
      </c>
      <c r="F64" s="10">
        <f>IF(A64="","",MAX(0,B64-D64))</f>
        <v>141142.157327742</v>
      </c>
    </row>
    <row r="65">
      <c r="A65" s="19">
        <f>IF(59&lt;=$D$4,59,"")</f>
        <v>59</v>
      </c>
      <c r="B65" s="10">
        <f>IF(A65="","",F64)</f>
        <v>141142.157327742</v>
      </c>
      <c r="C65" s="10">
        <f>IF(A65="","",B65*$F$4)</f>
        <v>1481.9926519412911</v>
      </c>
      <c r="D65" s="10">
        <f>IF(A65="","",E65-C65)</f>
        <v>66.04080390888089</v>
      </c>
      <c r="E65" s="10">
        <f>IF(A65="","",IF($E$3="SAC",$B$4/$D$4+C65,PMT($F$4,$D$4,-$B$4)))</f>
        <v>1548.033455850172</v>
      </c>
      <c r="F65" s="10">
        <f>IF(A65="","",MAX(0,B65-D65))</f>
        <v>141076.1165238331</v>
      </c>
    </row>
    <row r="66">
      <c r="A66" s="19">
        <f>IF(60&lt;=$D$4,60,"")</f>
        <v>60</v>
      </c>
      <c r="B66" s="10">
        <f>IF(A66="","",F65)</f>
        <v>141076.1165238331</v>
      </c>
      <c r="C66" s="10">
        <f>IF(A66="","",B66*$F$4)</f>
        <v>1481.2992235002478</v>
      </c>
      <c r="D66" s="10">
        <f>IF(A66="","",E66-C66)</f>
        <v>66.73423234992424</v>
      </c>
      <c r="E66" s="10">
        <f>IF(A66="","",IF($E$3="SAC",$B$4/$D$4+C66,PMT($F$4,$D$4,-$B$4)))</f>
        <v>1548.033455850172</v>
      </c>
      <c r="F66" s="10">
        <f>IF(A66="","",MAX(0,B66-D66))</f>
        <v>141009.38229148317</v>
      </c>
    </row>
    <row r="67">
      <c r="A67" s="19">
        <f>IF(61&lt;=$D$4,61,"")</f>
        <v>61</v>
      </c>
      <c r="B67" s="10">
        <f>IF(A67="","",F66)</f>
        <v>141009.38229148317</v>
      </c>
      <c r="C67" s="10">
        <f>IF(A67="","",B67*$F$4)</f>
        <v>1480.5985140605733</v>
      </c>
      <c r="D67" s="10">
        <f>IF(A67="","",E67-C67)</f>
        <v>67.43494178959872</v>
      </c>
      <c r="E67" s="10">
        <f>IF(A67="","",IF($E$3="SAC",$B$4/$D$4+C67,PMT($F$4,$D$4,-$B$4)))</f>
        <v>1548.033455850172</v>
      </c>
      <c r="F67" s="10">
        <f>IF(A67="","",MAX(0,B67-D67))</f>
        <v>140941.94734969357</v>
      </c>
    </row>
    <row r="68">
      <c r="A68" s="19">
        <f>IF(62&lt;=$D$4,62,"")</f>
        <v>62</v>
      </c>
      <c r="B68" s="10">
        <f>IF(A68="","",F67)</f>
        <v>140941.94734969357</v>
      </c>
      <c r="C68" s="10">
        <f>IF(A68="","",B68*$F$4)</f>
        <v>1479.8904471717826</v>
      </c>
      <c r="D68" s="10">
        <f>IF(A68="","",E68-C68)</f>
        <v>68.14300867838938</v>
      </c>
      <c r="E68" s="10">
        <f>IF(A68="","",IF($E$3="SAC",$B$4/$D$4+C68,PMT($F$4,$D$4,-$B$4)))</f>
        <v>1548.033455850172</v>
      </c>
      <c r="F68" s="10">
        <f>IF(A68="","",MAX(0,B68-D68))</f>
        <v>140873.80434101517</v>
      </c>
    </row>
    <row r="69">
      <c r="A69" s="19">
        <f>IF(63&lt;=$D$4,63,"")</f>
        <v>63</v>
      </c>
      <c r="B69" s="10">
        <f>IF(A69="","",F68)</f>
        <v>140873.80434101517</v>
      </c>
      <c r="C69" s="10">
        <f>IF(A69="","",B69*$F$4)</f>
        <v>1479.1749455806594</v>
      </c>
      <c r="D69" s="10">
        <f>IF(A69="","",E69-C69)</f>
        <v>68.85851026951264</v>
      </c>
      <c r="E69" s="10">
        <f>IF(A69="","",IF($E$3="SAC",$B$4/$D$4+C69,PMT($F$4,$D$4,-$B$4)))</f>
        <v>1548.033455850172</v>
      </c>
      <c r="F69" s="10">
        <f>IF(A69="","",MAX(0,B69-D69))</f>
        <v>140804.94583074565</v>
      </c>
    </row>
    <row r="70">
      <c r="A70" s="19">
        <f>IF(64&lt;=$D$4,64,"")</f>
        <v>64</v>
      </c>
      <c r="B70" s="10">
        <f>IF(A70="","",F69)</f>
        <v>140804.94583074565</v>
      </c>
      <c r="C70" s="10">
        <f>IF(A70="","",B70*$F$4)</f>
        <v>1478.4519312228294</v>
      </c>
      <c r="D70" s="10">
        <f>IF(A70="","",E70-C70)</f>
        <v>69.58152462734256</v>
      </c>
      <c r="E70" s="10">
        <f>IF(A70="","",IF($E$3="SAC",$B$4/$D$4+C70,PMT($F$4,$D$4,-$B$4)))</f>
        <v>1548.033455850172</v>
      </c>
      <c r="F70" s="10">
        <f>IF(A70="","",MAX(0,B70-D70))</f>
        <v>140735.3643061183</v>
      </c>
    </row>
    <row r="71">
      <c r="A71" s="19">
        <f>IF(65&lt;=$D$4,65,"")</f>
        <v>65</v>
      </c>
      <c r="B71" s="10">
        <f>IF(A71="","",F70)</f>
        <v>140735.3643061183</v>
      </c>
      <c r="C71" s="10">
        <f>IF(A71="","",B71*$F$4)</f>
        <v>1477.7213252142424</v>
      </c>
      <c r="D71" s="10">
        <f>IF(A71="","",E71-C71)</f>
        <v>70.31213063592963</v>
      </c>
      <c r="E71" s="10">
        <f>IF(A71="","",IF($E$3="SAC",$B$4/$D$4+C71,PMT($F$4,$D$4,-$B$4)))</f>
        <v>1548.033455850172</v>
      </c>
      <c r="F71" s="10">
        <f>IF(A71="","",MAX(0,B71-D71))</f>
        <v>140665.0521754824</v>
      </c>
    </row>
    <row r="72">
      <c r="A72" s="19">
        <f>IF(66&lt;=$D$4,66,"")</f>
        <v>66</v>
      </c>
      <c r="B72" s="10">
        <f>IF(A72="","",F71)</f>
        <v>140665.0521754824</v>
      </c>
      <c r="C72" s="10">
        <f>IF(A72="","",B72*$F$4)</f>
        <v>1476.9830478425652</v>
      </c>
      <c r="D72" s="10">
        <f>IF(A72="","",E72-C72)</f>
        <v>71.05040800760685</v>
      </c>
      <c r="E72" s="10">
        <f>IF(A72="","",IF($E$3="SAC",$B$4/$D$4+C72,PMT($F$4,$D$4,-$B$4)))</f>
        <v>1548.033455850172</v>
      </c>
      <c r="F72" s="10">
        <f>IF(A72="","",MAX(0,B72-D72))</f>
        <v>140594.00176747478</v>
      </c>
    </row>
    <row r="73">
      <c r="A73" s="19">
        <f>IF(67&lt;=$D$4,67,"")</f>
        <v>67</v>
      </c>
      <c r="B73" s="10">
        <f>IF(A73="","",F72)</f>
        <v>140594.00176747478</v>
      </c>
      <c r="C73" s="10">
        <f>IF(A73="","",B73*$F$4)</f>
        <v>1476.2370185584853</v>
      </c>
      <c r="D73" s="10">
        <f>IF(A73="","",E73-C73)</f>
        <v>71.79643729168674</v>
      </c>
      <c r="E73" s="10">
        <f>IF(A73="","",IF($E$3="SAC",$B$4/$D$4+C73,PMT($F$4,$D$4,-$B$4)))</f>
        <v>1548.033455850172</v>
      </c>
      <c r="F73" s="10">
        <f>IF(A73="","",MAX(0,B73-D73))</f>
        <v>140522.2053301831</v>
      </c>
    </row>
    <row r="74">
      <c r="A74" s="19">
        <f>IF(68&lt;=$D$4,68,"")</f>
        <v>68</v>
      </c>
      <c r="B74" s="10">
        <f>IF(A74="","",F73)</f>
        <v>140522.2053301831</v>
      </c>
      <c r="C74" s="10">
        <f>IF(A74="","",B74*$F$4)</f>
        <v>1475.4831559669226</v>
      </c>
      <c r="D74" s="10">
        <f>IF(A74="","",E74-C74)</f>
        <v>72.55029988324941</v>
      </c>
      <c r="E74" s="10">
        <f>IF(A74="","",IF($E$3="SAC",$B$4/$D$4+C74,PMT($F$4,$D$4,-$B$4)))</f>
        <v>1548.033455850172</v>
      </c>
      <c r="F74" s="10">
        <f>IF(A74="","",MAX(0,B74-D74))</f>
        <v>140449.65503029985</v>
      </c>
    </row>
    <row r="75">
      <c r="A75" s="19">
        <f>IF(69&lt;=$D$4,69,"")</f>
        <v>69</v>
      </c>
      <c r="B75" s="10">
        <f>IF(A75="","",F74)</f>
        <v>140449.65503029985</v>
      </c>
      <c r="C75" s="10">
        <f>IF(A75="","",B75*$F$4)</f>
        <v>1474.7213778181485</v>
      </c>
      <c r="D75" s="10">
        <f>IF(A75="","",E75-C75)</f>
        <v>73.31207803202346</v>
      </c>
      <c r="E75" s="10">
        <f>IF(A75="","",IF($E$3="SAC",$B$4/$D$4+C75,PMT($F$4,$D$4,-$B$4)))</f>
        <v>1548.033455850172</v>
      </c>
      <c r="F75" s="10">
        <f>IF(A75="","",MAX(0,B75-D75))</f>
        <v>140376.34295226782</v>
      </c>
    </row>
    <row r="76">
      <c r="A76" s="19">
        <f>IF(70&lt;=$D$4,70,"")</f>
        <v>70</v>
      </c>
      <c r="B76" s="10">
        <f>IF(A76="","",F75)</f>
        <v>140376.34295226782</v>
      </c>
      <c r="C76" s="10">
        <f>IF(A76="","",B76*$F$4)</f>
        <v>1473.9516009988122</v>
      </c>
      <c r="D76" s="10">
        <f>IF(A76="","",E76-C76)</f>
        <v>74.08185485135982</v>
      </c>
      <c r="E76" s="10">
        <f>IF(A76="","",IF($E$3="SAC",$B$4/$D$4+C76,PMT($F$4,$D$4,-$B$4)))</f>
        <v>1548.033455850172</v>
      </c>
      <c r="F76" s="10">
        <f>IF(A76="","",MAX(0,B76-D76))</f>
        <v>140302.26109741646</v>
      </c>
    </row>
    <row r="77">
      <c r="A77" s="19">
        <f>IF(71&lt;=$D$4,71,"")</f>
        <v>71</v>
      </c>
      <c r="B77" s="10">
        <f>IF(A77="","",F76)</f>
        <v>140302.26109741646</v>
      </c>
      <c r="C77" s="10">
        <f>IF(A77="","",B77*$F$4)</f>
        <v>1473.173741522873</v>
      </c>
      <c r="D77" s="10">
        <f>IF(A77="","",E77-C77)</f>
        <v>74.85971432729912</v>
      </c>
      <c r="E77" s="10">
        <f>IF(A77="","",IF($E$3="SAC",$B$4/$D$4+C77,PMT($F$4,$D$4,-$B$4)))</f>
        <v>1548.033455850172</v>
      </c>
      <c r="F77" s="10">
        <f>IF(A77="","",MAX(0,B77-D77))</f>
        <v>140227.40138308916</v>
      </c>
    </row>
    <row r="78">
      <c r="A78" s="19">
        <f>IF(72&lt;=$D$4,72,"")</f>
        <v>72</v>
      </c>
      <c r="B78" s="10">
        <f>IF(A78="","",F77)</f>
        <v>140227.40138308916</v>
      </c>
      <c r="C78" s="10">
        <f>IF(A78="","",B78*$F$4)</f>
        <v>1472.3877145224362</v>
      </c>
      <c r="D78" s="10">
        <f>IF(A78="","",E78-C78)</f>
        <v>75.64574132773578</v>
      </c>
      <c r="E78" s="10">
        <f>IF(A78="","",IF($E$3="SAC",$B$4/$D$4+C78,PMT($F$4,$D$4,-$B$4)))</f>
        <v>1548.033455850172</v>
      </c>
      <c r="F78" s="10">
        <f>IF(A78="","",MAX(0,B78-D78))</f>
        <v>140151.75564176144</v>
      </c>
    </row>
    <row r="79">
      <c r="A79" s="19">
        <f>IF(73&lt;=$D$4,73,"")</f>
        <v>73</v>
      </c>
      <c r="B79" s="10">
        <f>IF(A79="","",F78)</f>
        <v>140151.75564176144</v>
      </c>
      <c r="C79" s="10">
        <f>IF(A79="","",B79*$F$4)</f>
        <v>1471.5934342384953</v>
      </c>
      <c r="D79" s="10">
        <f>IF(A79="","",E79-C79)</f>
        <v>76.44002161167668</v>
      </c>
      <c r="E79" s="10">
        <f>IF(A79="","",IF($E$3="SAC",$B$4/$D$4+C79,PMT($F$4,$D$4,-$B$4)))</f>
        <v>1548.033455850172</v>
      </c>
      <c r="F79" s="10">
        <f>IF(A79="","",MAX(0,B79-D79))</f>
        <v>140075.31562014978</v>
      </c>
    </row>
    <row r="80">
      <c r="A80" s="19">
        <f>IF(74&lt;=$D$4,74,"")</f>
        <v>74</v>
      </c>
      <c r="B80" s="10">
        <f>IF(A80="","",F79)</f>
        <v>140075.31562014978</v>
      </c>
      <c r="C80" s="10">
        <f>IF(A80="","",B80*$F$4)</f>
        <v>1470.7908140115728</v>
      </c>
      <c r="D80" s="10">
        <f>IF(A80="","",E80-C80)</f>
        <v>77.24264183859918</v>
      </c>
      <c r="E80" s="10">
        <f>IF(A80="","",IF($E$3="SAC",$B$4/$D$4+C80,PMT($F$4,$D$4,-$B$4)))</f>
        <v>1548.033455850172</v>
      </c>
      <c r="F80" s="10">
        <f>IF(A80="","",MAX(0,B80-D80))</f>
        <v>139998.0729783112</v>
      </c>
    </row>
    <row r="81">
      <c r="A81" s="19">
        <f>IF(75&lt;=$D$4,75,"")</f>
        <v>75</v>
      </c>
      <c r="B81" s="10">
        <f>IF(A81="","",F80)</f>
        <v>139998.0729783112</v>
      </c>
      <c r="C81" s="10">
        <f>IF(A81="","",B81*$F$4)</f>
        <v>1469.9797662722676</v>
      </c>
      <c r="D81" s="10">
        <f>IF(A81="","",E81-C81)</f>
        <v>78.05368957790438</v>
      </c>
      <c r="E81" s="10">
        <f>IF(A81="","",IF($E$3="SAC",$B$4/$D$4+C81,PMT($F$4,$D$4,-$B$4)))</f>
        <v>1548.033455850172</v>
      </c>
      <c r="F81" s="10">
        <f>IF(A81="","",MAX(0,B81-D81))</f>
        <v>139920.01928873328</v>
      </c>
    </row>
    <row r="82">
      <c r="A82" s="19">
        <f>IF(76&lt;=$D$4,76,"")</f>
        <v>76</v>
      </c>
      <c r="B82" s="10">
        <f>IF(A82="","",F81)</f>
        <v>139920.01928873328</v>
      </c>
      <c r="C82" s="10">
        <f>IF(A82="","",B82*$F$4)</f>
        <v>1469.1602025316995</v>
      </c>
      <c r="D82" s="10">
        <f>IF(A82="","",E82-C82)</f>
        <v>78.8732533184725</v>
      </c>
      <c r="E82" s="10">
        <f>IF(A82="","",IF($E$3="SAC",$B$4/$D$4+C82,PMT($F$4,$D$4,-$B$4)))</f>
        <v>1548.033455850172</v>
      </c>
      <c r="F82" s="10">
        <f>IF(A82="","",MAX(0,B82-D82))</f>
        <v>139841.1460354148</v>
      </c>
    </row>
    <row r="83">
      <c r="A83" s="19">
        <f>IF(77&lt;=$D$4,77,"")</f>
        <v>77</v>
      </c>
      <c r="B83" s="10">
        <f>IF(A83="","",F82)</f>
        <v>139841.1460354148</v>
      </c>
      <c r="C83" s="10">
        <f>IF(A83="","",B83*$F$4)</f>
        <v>1468.3320333718555</v>
      </c>
      <c r="D83" s="10">
        <f>IF(A83="","",E83-C83)</f>
        <v>79.70142247831654</v>
      </c>
      <c r="E83" s="10">
        <f>IF(A83="","",IF($E$3="SAC",$B$4/$D$4+C83,PMT($F$4,$D$4,-$B$4)))</f>
        <v>1548.033455850172</v>
      </c>
      <c r="F83" s="10">
        <f>IF(A83="","",MAX(0,B83-D83))</f>
        <v>139761.4446129365</v>
      </c>
    </row>
    <row r="84">
      <c r="A84" s="19">
        <f>IF(78&lt;=$D$4,78,"")</f>
        <v>78</v>
      </c>
      <c r="B84" s="10">
        <f>IF(A84="","",F83)</f>
        <v>139761.4446129365</v>
      </c>
      <c r="C84" s="10">
        <f>IF(A84="","",B84*$F$4)</f>
        <v>1467.4951684358332</v>
      </c>
      <c r="D84" s="10">
        <f>IF(A84="","",E84-C84)</f>
        <v>80.53828741433881</v>
      </c>
      <c r="E84" s="10">
        <f>IF(A84="","",IF($E$3="SAC",$B$4/$D$4+C84,PMT($F$4,$D$4,-$B$4)))</f>
        <v>1548.033455850172</v>
      </c>
      <c r="F84" s="10">
        <f>IF(A84="","",MAX(0,B84-D84))</f>
        <v>139680.90632552217</v>
      </c>
    </row>
    <row r="85">
      <c r="A85" s="19">
        <f>IF(79&lt;=$D$4,79,"")</f>
        <v>79</v>
      </c>
      <c r="B85" s="10">
        <f>IF(A85="","",F84)</f>
        <v>139680.90632552217</v>
      </c>
      <c r="C85" s="10">
        <f>IF(A85="","",B85*$F$4)</f>
        <v>1466.6495164179828</v>
      </c>
      <c r="D85" s="10">
        <f>IF(A85="","",E85-C85)</f>
        <v>81.38393943218921</v>
      </c>
      <c r="E85" s="10">
        <f>IF(A85="","",IF($E$3="SAC",$B$4/$D$4+C85,PMT($F$4,$D$4,-$B$4)))</f>
        <v>1548.033455850172</v>
      </c>
      <c r="F85" s="10">
        <f>IF(A85="","",MAX(0,B85-D85))</f>
        <v>139599.52238609</v>
      </c>
    </row>
    <row r="86">
      <c r="A86" s="19">
        <f>IF(80&lt;=$D$4,80,"")</f>
        <v>80</v>
      </c>
      <c r="B86" s="10">
        <f>IF(A86="","",F85)</f>
        <v>139599.52238609</v>
      </c>
      <c r="C86" s="10">
        <f>IF(A86="","",B86*$F$4)</f>
        <v>1465.7949850539449</v>
      </c>
      <c r="D86" s="10">
        <f>IF(A86="","",E86-C86)</f>
        <v>82.23847079622715</v>
      </c>
      <c r="E86" s="10">
        <f>IF(A86="","",IF($E$3="SAC",$B$4/$D$4+C86,PMT($F$4,$D$4,-$B$4)))</f>
        <v>1548.033455850172</v>
      </c>
      <c r="F86" s="10">
        <f>IF(A86="","",MAX(0,B86-D86))</f>
        <v>139517.28391529375</v>
      </c>
    </row>
    <row r="87">
      <c r="A87" s="19">
        <f>IF(81&lt;=$D$4,81,"")</f>
        <v>81</v>
      </c>
      <c r="B87" s="10">
        <f>IF(A87="","",F86)</f>
        <v>139517.28391529375</v>
      </c>
      <c r="C87" s="10">
        <f>IF(A87="","",B87*$F$4)</f>
        <v>1464.9314811105844</v>
      </c>
      <c r="D87" s="10">
        <f>IF(A87="","",E87-C87)</f>
        <v>83.1019747395876</v>
      </c>
      <c r="E87" s="10">
        <f>IF(A87="","",IF($E$3="SAC",$B$4/$D$4+C87,PMT($F$4,$D$4,-$B$4)))</f>
        <v>1548.033455850172</v>
      </c>
      <c r="F87" s="10">
        <f>IF(A87="","",MAX(0,B87-D87))</f>
        <v>139434.18194055418</v>
      </c>
    </row>
    <row r="88">
      <c r="A88" s="19">
        <f>IF(82&lt;=$D$4,82,"")</f>
        <v>82</v>
      </c>
      <c r="B88" s="10">
        <f>IF(A88="","",F87)</f>
        <v>139434.18194055418</v>
      </c>
      <c r="C88" s="10">
        <f>IF(A88="","",B88*$F$4)</f>
        <v>1464.0589103758189</v>
      </c>
      <c r="D88" s="10">
        <f>IF(A88="","",E88-C88)</f>
        <v>83.97454547435314</v>
      </c>
      <c r="E88" s="10">
        <f>IF(A88="","",IF($E$3="SAC",$B$4/$D$4+C88,PMT($F$4,$D$4,-$B$4)))</f>
        <v>1548.033455850172</v>
      </c>
      <c r="F88" s="10">
        <f>IF(A88="","",MAX(0,B88-D88))</f>
        <v>139350.20739507984</v>
      </c>
    </row>
    <row r="89">
      <c r="A89" s="19">
        <f>IF(83&lt;=$D$4,83,"")</f>
        <v>83</v>
      </c>
      <c r="B89" s="10">
        <f>IF(A89="","",F88)</f>
        <v>139350.20739507984</v>
      </c>
      <c r="C89" s="10">
        <f>IF(A89="","",B89*$F$4)</f>
        <v>1463.1771776483383</v>
      </c>
      <c r="D89" s="10">
        <f>IF(A89="","",E89-C89)</f>
        <v>84.85627820183367</v>
      </c>
      <c r="E89" s="10">
        <f>IF(A89="","",IF($E$3="SAC",$B$4/$D$4+C89,PMT($F$4,$D$4,-$B$4)))</f>
        <v>1548.033455850172</v>
      </c>
      <c r="F89" s="10">
        <f>IF(A89="","",MAX(0,B89-D89))</f>
        <v>139265.351116878</v>
      </c>
    </row>
    <row r="90">
      <c r="A90" s="19">
        <f>IF(84&lt;=$D$4,84,"")</f>
        <v>84</v>
      </c>
      <c r="B90" s="10">
        <f>IF(A90="","",F89)</f>
        <v>139265.351116878</v>
      </c>
      <c r="C90" s="10">
        <f>IF(A90="","",B90*$F$4)</f>
        <v>1462.2861867272193</v>
      </c>
      <c r="D90" s="10">
        <f>IF(A90="","",E90-C90)</f>
        <v>85.74726912295273</v>
      </c>
      <c r="E90" s="10">
        <f>IF(A90="","",IF($E$3="SAC",$B$4/$D$4+C90,PMT($F$4,$D$4,-$B$4)))</f>
        <v>1548.033455850172</v>
      </c>
      <c r="F90" s="10">
        <f>IF(A90="","",MAX(0,B90-D90))</f>
        <v>139179.60384775506</v>
      </c>
    </row>
    <row r="91">
      <c r="A91" s="19">
        <f>IF(85&lt;=$D$4,85,"")</f>
        <v>85</v>
      </c>
      <c r="B91" s="10">
        <f>IF(A91="","",F90)</f>
        <v>139179.60384775506</v>
      </c>
      <c r="C91" s="10">
        <f>IF(A91="","",B91*$F$4)</f>
        <v>1461.3858404014281</v>
      </c>
      <c r="D91" s="10">
        <f>IF(A91="","",E91-C91)</f>
        <v>86.64761544874386</v>
      </c>
      <c r="E91" s="10">
        <f>IF(A91="","",IF($E$3="SAC",$B$4/$D$4+C91,PMT($F$4,$D$4,-$B$4)))</f>
        <v>1548.033455850172</v>
      </c>
      <c r="F91" s="10">
        <f>IF(A91="","",MAX(0,B91-D91))</f>
        <v>139092.95623230631</v>
      </c>
    </row>
    <row r="92">
      <c r="A92" s="19">
        <f>IF(86&lt;=$D$4,86,"")</f>
        <v>86</v>
      </c>
      <c r="B92" s="10">
        <f>IF(A92="","",F91)</f>
        <v>139092.95623230631</v>
      </c>
      <c r="C92" s="10">
        <f>IF(A92="","",B92*$F$4)</f>
        <v>1460.4760404392164</v>
      </c>
      <c r="D92" s="10">
        <f>IF(A92="","",E92-C92)</f>
        <v>87.55741541095563</v>
      </c>
      <c r="E92" s="10">
        <f>IF(A92="","",IF($E$3="SAC",$B$4/$D$4+C92,PMT($F$4,$D$4,-$B$4)))</f>
        <v>1548.033455850172</v>
      </c>
      <c r="F92" s="10">
        <f>IF(A92="","",MAX(0,B92-D92))</f>
        <v>139005.39881689535</v>
      </c>
    </row>
    <row r="93">
      <c r="A93" s="19">
        <f>IF(87&lt;=$D$4,87,"")</f>
        <v>87</v>
      </c>
      <c r="B93" s="10">
        <f>IF(A93="","",F92)</f>
        <v>139005.39881689535</v>
      </c>
      <c r="C93" s="10">
        <f>IF(A93="","",B93*$F$4)</f>
        <v>1459.5566875774014</v>
      </c>
      <c r="D93" s="10">
        <f>IF(A93="","",E93-C93)</f>
        <v>88.47676827277064</v>
      </c>
      <c r="E93" s="10">
        <f>IF(A93="","",IF($E$3="SAC",$B$4/$D$4+C93,PMT($F$4,$D$4,-$B$4)))</f>
        <v>1548.033455850172</v>
      </c>
      <c r="F93" s="10">
        <f>IF(A93="","",MAX(0,B93-D93))</f>
        <v>138916.92204862257</v>
      </c>
    </row>
    <row r="94">
      <c r="A94" s="19">
        <f>IF(88&lt;=$D$4,88,"")</f>
        <v>88</v>
      </c>
      <c r="B94" s="10">
        <f>IF(A94="","",F93)</f>
        <v>138916.92204862257</v>
      </c>
      <c r="C94" s="10">
        <f>IF(A94="","",B94*$F$4)</f>
        <v>1458.627681510537</v>
      </c>
      <c r="D94" s="10">
        <f>IF(A94="","",E94-C94)</f>
        <v>89.40577433963495</v>
      </c>
      <c r="E94" s="10">
        <f>IF(A94="","",IF($E$3="SAC",$B$4/$D$4+C94,PMT($F$4,$D$4,-$B$4)))</f>
        <v>1548.033455850172</v>
      </c>
      <c r="F94" s="10">
        <f>IF(A94="","",MAX(0,B94-D94))</f>
        <v>138827.51627428294</v>
      </c>
    </row>
    <row r="95">
      <c r="A95" s="19">
        <f>IF(89&lt;=$D$4,89,"")</f>
        <v>89</v>
      </c>
      <c r="B95" s="10">
        <f>IF(A95="","",F94)</f>
        <v>138827.51627428294</v>
      </c>
      <c r="C95" s="10">
        <f>IF(A95="","",B95*$F$4)</f>
        <v>1457.688920879971</v>
      </c>
      <c r="D95" s="10">
        <f>IF(A95="","",E95-C95)</f>
        <v>90.34453497020104</v>
      </c>
      <c r="E95" s="10">
        <f>IF(A95="","",IF($E$3="SAC",$B$4/$D$4+C95,PMT($F$4,$D$4,-$B$4)))</f>
        <v>1548.033455850172</v>
      </c>
      <c r="F95" s="10">
        <f>IF(A95="","",MAX(0,B95-D95))</f>
        <v>138737.17173931273</v>
      </c>
    </row>
    <row r="96">
      <c r="A96" s="19">
        <f>IF(90&lt;=$D$4,90,"")</f>
        <v>90</v>
      </c>
      <c r="B96" s="10">
        <f>IF(A96="","",F95)</f>
        <v>138737.17173931273</v>
      </c>
      <c r="C96" s="10">
        <f>IF(A96="","",B96*$F$4)</f>
        <v>1456.7403032627838</v>
      </c>
      <c r="D96" s="10">
        <f>IF(A96="","",E96-C96)</f>
        <v>91.29315258738825</v>
      </c>
      <c r="E96" s="10">
        <f>IF(A96="","",IF($E$3="SAC",$B$4/$D$4+C96,PMT($F$4,$D$4,-$B$4)))</f>
        <v>1548.033455850172</v>
      </c>
      <c r="F96" s="10">
        <f>IF(A96="","",MAX(0,B96-D96))</f>
        <v>138645.87858672533</v>
      </c>
    </row>
    <row r="97">
      <c r="A97" s="19">
        <f>IF(91&lt;=$D$4,91,"")</f>
        <v>91</v>
      </c>
      <c r="B97" s="10">
        <f>IF(A97="","",F96)</f>
        <v>138645.87858672533</v>
      </c>
      <c r="C97" s="10">
        <f>IF(A97="","",B97*$F$4)</f>
        <v>1455.7817251606161</v>
      </c>
      <c r="D97" s="10">
        <f>IF(A97="","",E97-C97)</f>
        <v>92.25173068955587</v>
      </c>
      <c r="E97" s="10">
        <f>IF(A97="","",IF($E$3="SAC",$B$4/$D$4+C97,PMT($F$4,$D$4,-$B$4)))</f>
        <v>1548.033455850172</v>
      </c>
      <c r="F97" s="10">
        <f>IF(A97="","",MAX(0,B97-D97))</f>
        <v>138553.6268560358</v>
      </c>
    </row>
    <row r="98">
      <c r="A98" s="19">
        <f>IF(92&lt;=$D$4,92,"")</f>
        <v>92</v>
      </c>
      <c r="B98" s="10">
        <f>IF(A98="","",F97)</f>
        <v>138553.6268560358</v>
      </c>
      <c r="C98" s="10">
        <f>IF(A98="","",B98*$F$4)</f>
        <v>1454.8130819883759</v>
      </c>
      <c r="D98" s="10">
        <f>IF(A98="","",E98-C98)</f>
        <v>93.22037386179613</v>
      </c>
      <c r="E98" s="10">
        <f>IF(A98="","",IF($E$3="SAC",$B$4/$D$4+C98,PMT($F$4,$D$4,-$B$4)))</f>
        <v>1548.033455850172</v>
      </c>
      <c r="F98" s="10">
        <f>IF(A98="","",MAX(0,B98-D98))</f>
        <v>138460.406482174</v>
      </c>
    </row>
    <row r="99">
      <c r="A99" s="19">
        <f>IF(93&lt;=$D$4,93,"")</f>
        <v>93</v>
      </c>
      <c r="B99" s="10">
        <f>IF(A99="","",F98)</f>
        <v>138460.406482174</v>
      </c>
      <c r="C99" s="10">
        <f>IF(A99="","",B99*$F$4)</f>
        <v>1453.834268062827</v>
      </c>
      <c r="D99" s="10">
        <f>IF(A99="","",E99-C99)</f>
        <v>94.19918778734495</v>
      </c>
      <c r="E99" s="10">
        <f>IF(A99="","",IF($E$3="SAC",$B$4/$D$4+C99,PMT($F$4,$D$4,-$B$4)))</f>
        <v>1548.033455850172</v>
      </c>
      <c r="F99" s="10">
        <f>IF(A99="","",MAX(0,B99-D99))</f>
        <v>138366.20729438667</v>
      </c>
    </row>
    <row r="100">
      <c r="A100" s="19">
        <f>IF(94&lt;=$D$4,94,"")</f>
        <v>94</v>
      </c>
      <c r="B100" s="10">
        <f>IF(A100="","",F99)</f>
        <v>138366.20729438667</v>
      </c>
      <c r="C100" s="10">
        <f>IF(A100="","",B100*$F$4)</f>
        <v>1452.8451765910602</v>
      </c>
      <c r="D100" s="10">
        <f>IF(A100="","",E100-C100)</f>
        <v>95.18827925911182</v>
      </c>
      <c r="E100" s="10">
        <f>IF(A100="","",IF($E$3="SAC",$B$4/$D$4+C100,PMT($F$4,$D$4,-$B$4)))</f>
        <v>1548.033455850172</v>
      </c>
      <c r="F100" s="10">
        <f>IF(A100="","",MAX(0,B100-D100))</f>
        <v>138271.01901512756</v>
      </c>
    </row>
    <row r="101">
      <c r="A101" s="19">
        <f>IF(95&lt;=$D$4,95,"")</f>
        <v>95</v>
      </c>
      <c r="B101" s="10">
        <f>IF(A101="","",F100)</f>
        <v>138271.01901512756</v>
      </c>
      <c r="C101" s="10">
        <f>IF(A101="","",B101*$F$4)</f>
        <v>1451.8456996588395</v>
      </c>
      <c r="D101" s="10">
        <f>IF(A101="","",E101-C101)</f>
        <v>96.18775619133248</v>
      </c>
      <c r="E101" s="10">
        <f>IF(A101="","",IF($E$3="SAC",$B$4/$D$4+C101,PMT($F$4,$D$4,-$B$4)))</f>
        <v>1548.033455850172</v>
      </c>
      <c r="F101" s="10">
        <f>IF(A101="","",MAX(0,B101-D101))</f>
        <v>138174.83125893623</v>
      </c>
    </row>
    <row r="102">
      <c r="A102" s="19">
        <f>IF(96&lt;=$D$4,96,"")</f>
        <v>96</v>
      </c>
      <c r="B102" s="10">
        <f>IF(A102="","",F101)</f>
        <v>138174.83125893623</v>
      </c>
      <c r="C102" s="10">
        <f>IF(A102="","",B102*$F$4)</f>
        <v>1450.8357282188306</v>
      </c>
      <c r="D102" s="10">
        <f>IF(A102="","",E102-C102)</f>
        <v>97.19772763134142</v>
      </c>
      <c r="E102" s="10">
        <f>IF(A102="","",IF($E$3="SAC",$B$4/$D$4+C102,PMT($F$4,$D$4,-$B$4)))</f>
        <v>1548.033455850172</v>
      </c>
      <c r="F102" s="10">
        <f>IF(A102="","",MAX(0,B102-D102))</f>
        <v>138077.6335313049</v>
      </c>
    </row>
    <row r="103">
      <c r="A103" s="19">
        <f>IF(97&lt;=$D$4,97,"")</f>
        <v>97</v>
      </c>
      <c r="B103" s="10">
        <f>IF(A103="","",F102)</f>
        <v>138077.6335313049</v>
      </c>
      <c r="C103" s="10">
        <f>IF(A103="","",B103*$F$4)</f>
        <v>1449.8151520787014</v>
      </c>
      <c r="D103" s="10">
        <f>IF(A103="","",E103-C103)</f>
        <v>98.21830377147057</v>
      </c>
      <c r="E103" s="10">
        <f>IF(A103="","",IF($E$3="SAC",$B$4/$D$4+C103,PMT($F$4,$D$4,-$B$4)))</f>
        <v>1548.033455850172</v>
      </c>
      <c r="F103" s="10">
        <f>IF(A103="","",MAX(0,B103-D103))</f>
        <v>137979.41522753343</v>
      </c>
    </row>
    <row r="104">
      <c r="A104" s="19">
        <f>IF(98&lt;=$D$4,98,"")</f>
        <v>98</v>
      </c>
      <c r="B104" s="10">
        <f>IF(A104="","",F103)</f>
        <v>137979.41522753343</v>
      </c>
      <c r="C104" s="10">
        <f>IF(A104="","",B104*$F$4)</f>
        <v>1448.7838598891012</v>
      </c>
      <c r="D104" s="10">
        <f>IF(A104="","",E104-C104)</f>
        <v>99.24959596107078</v>
      </c>
      <c r="E104" s="10">
        <f>IF(A104="","",IF($E$3="SAC",$B$4/$D$4+C104,PMT($F$4,$D$4,-$B$4)))</f>
        <v>1548.033455850172</v>
      </c>
      <c r="F104" s="10">
        <f>IF(A104="","",MAX(0,B104-D104))</f>
        <v>137880.16563157237</v>
      </c>
    </row>
    <row r="105">
      <c r="A105" s="19">
        <f>IF(99&lt;=$D$4,99,"")</f>
        <v>99</v>
      </c>
      <c r="B105" s="10">
        <f>IF(A105="","",F104)</f>
        <v>137880.16563157237</v>
      </c>
      <c r="C105" s="10">
        <f>IF(A105="","",B105*$F$4)</f>
        <v>1447.74173913151</v>
      </c>
      <c r="D105" s="10">
        <f>IF(A105="","",E105-C105)</f>
        <v>100.29171671866197</v>
      </c>
      <c r="E105" s="10">
        <f>IF(A105="","",IF($E$3="SAC",$B$4/$D$4+C105,PMT($F$4,$D$4,-$B$4)))</f>
        <v>1548.033455850172</v>
      </c>
      <c r="F105" s="10">
        <f>IF(A105="","",MAX(0,B105-D105))</f>
        <v>137779.8739148537</v>
      </c>
    </row>
    <row r="106">
      <c r="A106" s="19">
        <f>IF(100&lt;=$D$4,100,"")</f>
        <v>100</v>
      </c>
      <c r="B106" s="10">
        <f>IF(A106="","",F105)</f>
        <v>137779.8739148537</v>
      </c>
      <c r="C106" s="10">
        <f>IF(A106="","",B106*$F$4)</f>
        <v>1446.6886761059639</v>
      </c>
      <c r="D106" s="10">
        <f>IF(A106="","",E106-C106)</f>
        <v>101.34477974420815</v>
      </c>
      <c r="E106" s="10">
        <f>IF(A106="","",IF($E$3="SAC",$B$4/$D$4+C106,PMT($F$4,$D$4,-$B$4)))</f>
        <v>1548.033455850172</v>
      </c>
      <c r="F106" s="10">
        <f>IF(A106="","",MAX(0,B106-D106))</f>
        <v>137678.52913510948</v>
      </c>
    </row>
    <row r="107">
      <c r="A107" s="19">
        <f>IF(101&lt;=$D$4,101,"")</f>
        <v>101</v>
      </c>
      <c r="B107" s="10">
        <f>IF(A107="","",F106)</f>
        <v>137678.52913510948</v>
      </c>
      <c r="C107" s="10">
        <f>IF(A107="","",B107*$F$4)</f>
        <v>1445.6245559186495</v>
      </c>
      <c r="D107" s="10">
        <f>IF(A107="","",E107-C107)</f>
        <v>102.40889993152246</v>
      </c>
      <c r="E107" s="10">
        <f>IF(A107="","",IF($E$3="SAC",$B$4/$D$4+C107,PMT($F$4,$D$4,-$B$4)))</f>
        <v>1548.033455850172</v>
      </c>
      <c r="F107" s="10">
        <f>IF(A107="","",MAX(0,B107-D107))</f>
        <v>137576.12023517795</v>
      </c>
    </row>
    <row r="108">
      <c r="A108" s="19">
        <f>IF(102&lt;=$D$4,102,"")</f>
        <v>102</v>
      </c>
      <c r="B108" s="10">
        <f>IF(A108="","",F107)</f>
        <v>137576.12023517795</v>
      </c>
      <c r="C108" s="10">
        <f>IF(A108="","",B108*$F$4)</f>
        <v>1444.5492624693686</v>
      </c>
      <c r="D108" s="10">
        <f>IF(A108="","",E108-C108)</f>
        <v>103.48419338080339</v>
      </c>
      <c r="E108" s="10">
        <f>IF(A108="","",IF($E$3="SAC",$B$4/$D$4+C108,PMT($F$4,$D$4,-$B$4)))</f>
        <v>1548.033455850172</v>
      </c>
      <c r="F108" s="10">
        <f>IF(A108="","",MAX(0,B108-D108))</f>
        <v>137472.63604179714</v>
      </c>
    </row>
    <row r="109">
      <c r="A109" s="19">
        <f>IF(103&lt;=$D$4,103,"")</f>
        <v>103</v>
      </c>
      <c r="B109" s="10">
        <f>IF(A109="","",F108)</f>
        <v>137472.63604179714</v>
      </c>
      <c r="C109" s="10">
        <f>IF(A109="","",B109*$F$4)</f>
        <v>1443.4626784388702</v>
      </c>
      <c r="D109" s="10">
        <f>IF(A109="","",E109-C109)</f>
        <v>104.57077741130183</v>
      </c>
      <c r="E109" s="10">
        <f>IF(A109="","",IF($E$3="SAC",$B$4/$D$4+C109,PMT($F$4,$D$4,-$B$4)))</f>
        <v>1548.033455850172</v>
      </c>
      <c r="F109" s="10">
        <f>IF(A109="","",MAX(0,B109-D109))</f>
        <v>137368.06526438583</v>
      </c>
    </row>
    <row r="110">
      <c r="A110" s="19">
        <f>IF(104&lt;=$D$4,104,"")</f>
        <v>104</v>
      </c>
      <c r="B110" s="10">
        <f>IF(A110="","",F109)</f>
        <v>137368.06526438583</v>
      </c>
      <c r="C110" s="10">
        <f>IF(A110="","",B110*$F$4)</f>
        <v>1442.3646852760514</v>
      </c>
      <c r="D110" s="10">
        <f>IF(A110="","",E110-C110)</f>
        <v>105.66877057412057</v>
      </c>
      <c r="E110" s="10">
        <f>IF(A110="","",IF($E$3="SAC",$B$4/$D$4+C110,PMT($F$4,$D$4,-$B$4)))</f>
        <v>1548.033455850172</v>
      </c>
      <c r="F110" s="10">
        <f>IF(A110="","",MAX(0,B110-D110))</f>
        <v>137262.3964938117</v>
      </c>
    </row>
    <row r="111">
      <c r="A111" s="19">
        <f>IF(105&lt;=$D$4,105,"")</f>
        <v>105</v>
      </c>
      <c r="B111" s="10">
        <f>IF(A111="","",F110)</f>
        <v>137262.3964938117</v>
      </c>
      <c r="C111" s="10">
        <f>IF(A111="","",B111*$F$4)</f>
        <v>1441.255163185023</v>
      </c>
      <c r="D111" s="10">
        <f>IF(A111="","",E111-C111)</f>
        <v>106.77829266514891</v>
      </c>
      <c r="E111" s="10">
        <f>IF(A111="","",IF($E$3="SAC",$B$4/$D$4+C111,PMT($F$4,$D$4,-$B$4)))</f>
        <v>1548.033455850172</v>
      </c>
      <c r="F111" s="10">
        <f>IF(A111="","",MAX(0,B111-D111))</f>
        <v>137155.61820114657</v>
      </c>
    </row>
    <row r="112">
      <c r="A112" s="19">
        <f>IF(106&lt;=$D$4,106,"")</f>
        <v>106</v>
      </c>
      <c r="B112" s="10">
        <f>IF(A112="","",F111)</f>
        <v>137155.61820114657</v>
      </c>
      <c r="C112" s="10">
        <f>IF(A112="","",B112*$F$4)</f>
        <v>1440.133991112039</v>
      </c>
      <c r="D112" s="10">
        <f>IF(A112="","",E112-C112)</f>
        <v>107.89946473813302</v>
      </c>
      <c r="E112" s="10">
        <f>IF(A112="","",IF($E$3="SAC",$B$4/$D$4+C112,PMT($F$4,$D$4,-$B$4)))</f>
        <v>1548.033455850172</v>
      </c>
      <c r="F112" s="10">
        <f>IF(A112="","",MAX(0,B112-D112))</f>
        <v>137047.71873640845</v>
      </c>
    </row>
    <row r="113">
      <c r="A113" s="19">
        <f>IF(107&lt;=$D$4,107,"")</f>
        <v>107</v>
      </c>
      <c r="B113" s="10">
        <f>IF(A113="","",F112)</f>
        <v>137047.71873640845</v>
      </c>
      <c r="C113" s="10">
        <f>IF(A113="","",B113*$F$4)</f>
        <v>1439.0010467322888</v>
      </c>
      <c r="D113" s="10">
        <f>IF(A113="","",E113-C113)</f>
        <v>109.03240911788316</v>
      </c>
      <c r="E113" s="10">
        <f>IF(A113="","",IF($E$3="SAC",$B$4/$D$4+C113,PMT($F$4,$D$4,-$B$4)))</f>
        <v>1548.033455850172</v>
      </c>
      <c r="F113" s="10">
        <f>IF(A113="","",MAX(0,B113-D113))</f>
        <v>136938.68632729058</v>
      </c>
    </row>
    <row r="114">
      <c r="A114" s="19">
        <f>IF(108&lt;=$D$4,108,"")</f>
        <v>108</v>
      </c>
      <c r="B114" s="10">
        <f>IF(A114="","",F113)</f>
        <v>136938.68632729058</v>
      </c>
      <c r="C114" s="10">
        <f>IF(A114="","",B114*$F$4)</f>
        <v>1437.8562064365512</v>
      </c>
      <c r="D114" s="10">
        <f>IF(A114="","",E114-C114)</f>
        <v>110.17724941362076</v>
      </c>
      <c r="E114" s="10">
        <f>IF(A114="","",IF($E$3="SAC",$B$4/$D$4+C114,PMT($F$4,$D$4,-$B$4)))</f>
        <v>1548.033455850172</v>
      </c>
      <c r="F114" s="10">
        <f>IF(A114="","",MAX(0,B114-D114))</f>
        <v>136828.50907787695</v>
      </c>
    </row>
    <row r="115">
      <c r="A115" s="19">
        <f>IF(109&lt;=$D$4,109,"")</f>
        <v>109</v>
      </c>
      <c r="B115" s="10">
        <f>IF(A115="","",F114)</f>
        <v>136828.50907787695</v>
      </c>
      <c r="C115" s="10">
        <f>IF(A115="","",B115*$F$4)</f>
        <v>1436.699345317708</v>
      </c>
      <c r="D115" s="10">
        <f>IF(A115="","",E115-C115)</f>
        <v>111.33411053246391</v>
      </c>
      <c r="E115" s="10">
        <f>IF(A115="","",IF($E$3="SAC",$B$4/$D$4+C115,PMT($F$4,$D$4,-$B$4)))</f>
        <v>1548.033455850172</v>
      </c>
      <c r="F115" s="10">
        <f>IF(A115="","",MAX(0,B115-D115))</f>
        <v>136717.1749673445</v>
      </c>
    </row>
    <row r="116">
      <c r="A116" s="19">
        <f>IF(110&lt;=$D$4,110,"")</f>
        <v>110</v>
      </c>
      <c r="B116" s="10">
        <f>IF(A116="","",F115)</f>
        <v>136717.1749673445</v>
      </c>
      <c r="C116" s="10">
        <f>IF(A116="","",B116*$F$4)</f>
        <v>1435.5303371571174</v>
      </c>
      <c r="D116" s="10">
        <f>IF(A116="","",E116-C116)</f>
        <v>112.5031186930546</v>
      </c>
      <c r="E116" s="10">
        <f>IF(A116="","",IF($E$3="SAC",$B$4/$D$4+C116,PMT($F$4,$D$4,-$B$4)))</f>
        <v>1548.033455850172</v>
      </c>
      <c r="F116" s="10">
        <f>IF(A116="","",MAX(0,B116-D116))</f>
        <v>136604.67184865146</v>
      </c>
    </row>
    <row r="117">
      <c r="A117" s="19">
        <f>IF(111&lt;=$D$4,111,"")</f>
        <v>111</v>
      </c>
      <c r="B117" s="10">
        <f>IF(A117="","",F116)</f>
        <v>136604.67184865146</v>
      </c>
      <c r="C117" s="10">
        <f>IF(A117="","",B117*$F$4)</f>
        <v>1434.3490544108404</v>
      </c>
      <c r="D117" s="10">
        <f>IF(A117="","",E117-C117)</f>
        <v>113.68440143933162</v>
      </c>
      <c r="E117" s="10">
        <f>IF(A117="","",IF($E$3="SAC",$B$4/$D$4+C117,PMT($F$4,$D$4,-$B$4)))</f>
        <v>1548.033455850172</v>
      </c>
      <c r="F117" s="10">
        <f>IF(A117="","",MAX(0,B117-D117))</f>
        <v>136490.98744721213</v>
      </c>
    </row>
    <row r="118">
      <c r="A118" s="19">
        <f>IF(112&lt;=$D$4,112,"")</f>
        <v>112</v>
      </c>
      <c r="B118" s="10">
        <f>IF(A118="","",F117)</f>
        <v>136490.98744721213</v>
      </c>
      <c r="C118" s="10">
        <f>IF(A118="","",B118*$F$4)</f>
        <v>1433.1553681957275</v>
      </c>
      <c r="D118" s="10">
        <f>IF(A118="","",E118-C118)</f>
        <v>114.87808765444447</v>
      </c>
      <c r="E118" s="10">
        <f>IF(A118="","",IF($E$3="SAC",$B$4/$D$4+C118,PMT($F$4,$D$4,-$B$4)))</f>
        <v>1548.033455850172</v>
      </c>
      <c r="F118" s="10">
        <f>IF(A118="","",MAX(0,B118-D118))</f>
        <v>136376.10935955768</v>
      </c>
    </row>
    <row r="119">
      <c r="A119" s="19">
        <f>IF(113&lt;=$D$4,113,"")</f>
        <v>113</v>
      </c>
      <c r="B119" s="10">
        <f>IF(A119="","",F118)</f>
        <v>136376.10935955768</v>
      </c>
      <c r="C119" s="10">
        <f>IF(A119="","",B119*$F$4)</f>
        <v>1431.9491482753558</v>
      </c>
      <c r="D119" s="10">
        <f>IF(A119="","",E119-C119)</f>
        <v>116.0843075748162</v>
      </c>
      <c r="E119" s="10">
        <f>IF(A119="","",IF($E$3="SAC",$B$4/$D$4+C119,PMT($F$4,$D$4,-$B$4)))</f>
        <v>1548.033455850172</v>
      </c>
      <c r="F119" s="10">
        <f>IF(A119="","",MAX(0,B119-D119))</f>
        <v>136260.02505198287</v>
      </c>
    </row>
    <row r="120">
      <c r="A120" s="19">
        <f>IF(114&lt;=$D$4,114,"")</f>
        <v>114</v>
      </c>
      <c r="B120" s="10">
        <f>IF(A120="","",F119)</f>
        <v>136260.02505198287</v>
      </c>
      <c r="C120" s="10">
        <f>IF(A120="","",B120*$F$4)</f>
        <v>1430.7302630458203</v>
      </c>
      <c r="D120" s="10">
        <f>IF(A120="","",E120-C120)</f>
        <v>117.30319280435174</v>
      </c>
      <c r="E120" s="10">
        <f>IF(A120="","",IF($E$3="SAC",$B$4/$D$4+C120,PMT($F$4,$D$4,-$B$4)))</f>
        <v>1548.033455850172</v>
      </c>
      <c r="F120" s="10">
        <f>IF(A120="","",MAX(0,B120-D120))</f>
        <v>136142.7218591785</v>
      </c>
    </row>
    <row r="121">
      <c r="A121" s="19">
        <f>IF(115&lt;=$D$4,115,"")</f>
        <v>115</v>
      </c>
      <c r="B121" s="10">
        <f>IF(A121="","",F120)</f>
        <v>136142.7218591785</v>
      </c>
      <c r="C121" s="10">
        <f>IF(A121="","",B121*$F$4)</f>
        <v>1429.4985795213745</v>
      </c>
      <c r="D121" s="10">
        <f>IF(A121="","",E121-C121)</f>
        <v>118.53487632879751</v>
      </c>
      <c r="E121" s="10">
        <f>IF(A121="","",IF($E$3="SAC",$B$4/$D$4+C121,PMT($F$4,$D$4,-$B$4)))</f>
        <v>1548.033455850172</v>
      </c>
      <c r="F121" s="10">
        <f>IF(A121="","",MAX(0,B121-D121))</f>
        <v>136024.1869828497</v>
      </c>
    </row>
    <row r="122">
      <c r="A122" s="19">
        <f>IF(116&lt;=$D$4,116,"")</f>
        <v>116</v>
      </c>
      <c r="B122" s="10">
        <f>IF(A122="","",F121)</f>
        <v>136024.1869828497</v>
      </c>
      <c r="C122" s="10">
        <f>IF(A122="","",B122*$F$4)</f>
        <v>1428.253963319922</v>
      </c>
      <c r="D122" s="10">
        <f>IF(A122="","",E122-C122)</f>
        <v>119.77949253025008</v>
      </c>
      <c r="E122" s="10">
        <f>IF(A122="","",IF($E$3="SAC",$B$4/$D$4+C122,PMT($F$4,$D$4,-$B$4)))</f>
        <v>1548.033455850172</v>
      </c>
      <c r="F122" s="10">
        <f>IF(A122="","",MAX(0,B122-D122))</f>
        <v>135904.40749031946</v>
      </c>
    </row>
    <row r="123">
      <c r="A123" s="19">
        <f>IF(117&lt;=$D$4,117,"")</f>
        <v>117</v>
      </c>
      <c r="B123" s="10">
        <f>IF(A123="","",F122)</f>
        <v>135904.40749031946</v>
      </c>
      <c r="C123" s="10">
        <f>IF(A123="","",B123*$F$4)</f>
        <v>1426.9962786483543</v>
      </c>
      <c r="D123" s="10">
        <f>IF(A123="","",E123-C123)</f>
        <v>121.03717720181771</v>
      </c>
      <c r="E123" s="10">
        <f>IF(A123="","",IF($E$3="SAC",$B$4/$D$4+C123,PMT($F$4,$D$4,-$B$4)))</f>
        <v>1548.033455850172</v>
      </c>
      <c r="F123" s="10">
        <f>IF(A123="","",MAX(0,B123-D123))</f>
        <v>135783.37031311763</v>
      </c>
    </row>
    <row r="124">
      <c r="A124" s="19">
        <f>IF(118&lt;=$D$4,118,"")</f>
        <v>118</v>
      </c>
      <c r="B124" s="10">
        <f>IF(A124="","",F123)</f>
        <v>135783.37031311763</v>
      </c>
      <c r="C124" s="10">
        <f>IF(A124="","",B124*$F$4)</f>
        <v>1425.7253882877353</v>
      </c>
      <c r="D124" s="10">
        <f>IF(A124="","",E124-C124)</f>
        <v>122.30806756243669</v>
      </c>
      <c r="E124" s="10">
        <f>IF(A124="","",IF($E$3="SAC",$B$4/$D$4+C124,PMT($F$4,$D$4,-$B$4)))</f>
        <v>1548.033455850172</v>
      </c>
      <c r="F124" s="10">
        <f>IF(A124="","",MAX(0,B124-D124))</f>
        <v>135661.0622455552</v>
      </c>
    </row>
    <row r="125">
      <c r="A125" s="19">
        <f>IF(119&lt;=$D$4,119,"")</f>
        <v>119</v>
      </c>
      <c r="B125" s="10">
        <f>IF(A125="","",F124)</f>
        <v>135661.0622455552</v>
      </c>
      <c r="C125" s="10">
        <f>IF(A125="","",B125*$F$4)</f>
        <v>1424.4411535783297</v>
      </c>
      <c r="D125" s="10">
        <f>IF(A125="","",E125-C125)</f>
        <v>123.5923022718423</v>
      </c>
      <c r="E125" s="10">
        <f>IF(A125="","",IF($E$3="SAC",$B$4/$D$4+C125,PMT($F$4,$D$4,-$B$4)))</f>
        <v>1548.033455850172</v>
      </c>
      <c r="F125" s="10">
        <f>IF(A125="","",MAX(0,B125-D125))</f>
        <v>135537.46994328336</v>
      </c>
    </row>
    <row r="126">
      <c r="A126" s="19">
        <f>IF(120&lt;=$D$4,120,"")</f>
        <v>120</v>
      </c>
      <c r="B126" s="10">
        <f>IF(A126="","",F125)</f>
        <v>135537.46994328336</v>
      </c>
      <c r="C126" s="10">
        <f>IF(A126="","",B126*$F$4)</f>
        <v>1423.1434344044753</v>
      </c>
      <c r="D126" s="10">
        <f>IF(A126="","",E126-C126)</f>
        <v>124.89002144569668</v>
      </c>
      <c r="E126" s="10">
        <f>IF(A126="","",IF($E$3="SAC",$B$4/$D$4+C126,PMT($F$4,$D$4,-$B$4)))</f>
        <v>1548.033455850172</v>
      </c>
      <c r="F126" s="10">
        <f>IF(A126="","",MAX(0,B126-D126))</f>
        <v>135412.57992183766</v>
      </c>
    </row>
    <row r="127">
      <c r="A127" s="19">
        <f>IF(121&lt;=$D$4,121,"")</f>
        <v>121</v>
      </c>
      <c r="B127" s="10">
        <f>IF(A127="","",F126)</f>
        <v>135412.57992183766</v>
      </c>
      <c r="C127" s="10">
        <f>IF(A127="","",B127*$F$4)</f>
        <v>1421.8320891792955</v>
      </c>
      <c r="D127" s="10">
        <f>IF(A127="","",E127-C127)</f>
        <v>126.2013666708765</v>
      </c>
      <c r="E127" s="10">
        <f>IF(A127="","",IF($E$3="SAC",$B$4/$D$4+C127,PMT($F$4,$D$4,-$B$4)))</f>
        <v>1548.033455850172</v>
      </c>
      <c r="F127" s="10">
        <f>IF(A127="","",MAX(0,B127-D127))</f>
        <v>135286.3785551668</v>
      </c>
    </row>
    <row r="128">
      <c r="A128" s="19">
        <f>IF(122&lt;=$D$4,122,"")</f>
        <v>122</v>
      </c>
      <c r="B128" s="10">
        <f>IF(A128="","",F127)</f>
        <v>135286.3785551668</v>
      </c>
      <c r="C128" s="10">
        <f>IF(A128="","",B128*$F$4)</f>
        <v>1420.5069748292515</v>
      </c>
      <c r="D128" s="10">
        <f>IF(A128="","",E128-C128)</f>
        <v>127.52648102092053</v>
      </c>
      <c r="E128" s="10">
        <f>IF(A128="","",IF($E$3="SAC",$B$4/$D$4+C128,PMT($F$4,$D$4,-$B$4)))</f>
        <v>1548.033455850172</v>
      </c>
      <c r="F128" s="10">
        <f>IF(A128="","",MAX(0,B128-D128))</f>
        <v>135158.85207414586</v>
      </c>
    </row>
    <row r="129">
      <c r="A129" s="19">
        <f>IF(123&lt;=$D$4,123,"")</f>
        <v>123</v>
      </c>
      <c r="B129" s="10">
        <f>IF(A129="","",F128)</f>
        <v>135158.85207414586</v>
      </c>
      <c r="C129" s="10">
        <f>IF(A129="","",B129*$F$4)</f>
        <v>1419.1679467785316</v>
      </c>
      <c r="D129" s="10">
        <f>IF(A129="","",E129-C129)</f>
        <v>128.86550907164042</v>
      </c>
      <c r="E129" s="10">
        <f>IF(A129="","",IF($E$3="SAC",$B$4/$D$4+C129,PMT($F$4,$D$4,-$B$4)))</f>
        <v>1548.033455850172</v>
      </c>
      <c r="F129" s="10">
        <f>IF(A129="","",MAX(0,B129-D129))</f>
        <v>135029.9865650742</v>
      </c>
    </row>
    <row r="130">
      <c r="A130" s="19">
        <f>IF(124&lt;=$D$4,124,"")</f>
        <v>124</v>
      </c>
      <c r="B130" s="10">
        <f>IF(A130="","",F129)</f>
        <v>135029.9865650742</v>
      </c>
      <c r="C130" s="10">
        <f>IF(A130="","",B130*$F$4)</f>
        <v>1417.8148589332793</v>
      </c>
      <c r="D130" s="10">
        <f>IF(A130="","",E130-C130)</f>
        <v>130.2185969168927</v>
      </c>
      <c r="E130" s="10">
        <f>IF(A130="","",IF($E$3="SAC",$B$4/$D$4+C130,PMT($F$4,$D$4,-$B$4)))</f>
        <v>1548.033455850172</v>
      </c>
      <c r="F130" s="10">
        <f>IF(A130="","",MAX(0,B130-D130))</f>
        <v>134899.76796815734</v>
      </c>
    </row>
    <row r="131">
      <c r="A131" s="19">
        <f>IF(125&lt;=$D$4,125,"")</f>
        <v>125</v>
      </c>
      <c r="B131" s="10">
        <f>IF(A131="","",F130)</f>
        <v>134899.76796815734</v>
      </c>
      <c r="C131" s="10">
        <f>IF(A131="","",B131*$F$4)</f>
        <v>1416.447563665652</v>
      </c>
      <c r="D131" s="10">
        <f>IF(A131="","",E131-C131)</f>
        <v>131.58589218451993</v>
      </c>
      <c r="E131" s="10">
        <f>IF(A131="","",IF($E$3="SAC",$B$4/$D$4+C131,PMT($F$4,$D$4,-$B$4)))</f>
        <v>1548.033455850172</v>
      </c>
      <c r="F131" s="10">
        <f>IF(A131="","",MAX(0,B131-D131))</f>
        <v>134768.1820759728</v>
      </c>
    </row>
    <row r="132">
      <c r="A132" s="19">
        <f>IF(126&lt;=$D$4,126,"")</f>
        <v>126</v>
      </c>
      <c r="B132" s="10">
        <f>IF(A132="","",F131)</f>
        <v>134768.1820759728</v>
      </c>
      <c r="C132" s="10">
        <f>IF(A132="","",B132*$F$4)</f>
        <v>1415.0659117977145</v>
      </c>
      <c r="D132" s="10">
        <f>IF(A132="","",E132-C132)</f>
        <v>132.96754405245747</v>
      </c>
      <c r="E132" s="10">
        <f>IF(A132="","",IF($E$3="SAC",$B$4/$D$4+C132,PMT($F$4,$D$4,-$B$4)))</f>
        <v>1548.033455850172</v>
      </c>
      <c r="F132" s="10">
        <f>IF(A132="","",MAX(0,B132-D132))</f>
        <v>134635.21453192036</v>
      </c>
    </row>
    <row r="133">
      <c r="A133" s="19">
        <f>IF(127&lt;=$D$4,127,"")</f>
        <v>127</v>
      </c>
      <c r="B133" s="10">
        <f>IF(A133="","",F132)</f>
        <v>134635.21453192036</v>
      </c>
      <c r="C133" s="10">
        <f>IF(A133="","",B133*$F$4)</f>
        <v>1413.669752585164</v>
      </c>
      <c r="D133" s="10">
        <f>IF(A133="","",E133-C133)</f>
        <v>134.3637032650081</v>
      </c>
      <c r="E133" s="10">
        <f>IF(A133="","",IF($E$3="SAC",$B$4/$D$4+C133,PMT($F$4,$D$4,-$B$4)))</f>
        <v>1548.033455850172</v>
      </c>
      <c r="F133" s="10">
        <f>IF(A133="","",MAX(0,B133-D133))</f>
        <v>134500.85082865536</v>
      </c>
    </row>
    <row r="134">
      <c r="A134" s="19">
        <f>IF(128&lt;=$D$4,128,"")</f>
        <v>128</v>
      </c>
      <c r="B134" s="10">
        <f>IF(A134="","",F133)</f>
        <v>134500.85082865536</v>
      </c>
      <c r="C134" s="10">
        <f>IF(A134="","",B134*$F$4)</f>
        <v>1412.2589337008812</v>
      </c>
      <c r="D134" s="10">
        <f>IF(A134="","",E134-C134)</f>
        <v>135.77452214929076</v>
      </c>
      <c r="E134" s="10">
        <f>IF(A134="","",IF($E$3="SAC",$B$4/$D$4+C134,PMT($F$4,$D$4,-$B$4)))</f>
        <v>1548.033455850172</v>
      </c>
      <c r="F134" s="10">
        <f>IF(A134="","",MAX(0,B134-D134))</f>
        <v>134365.07630650606</v>
      </c>
    </row>
    <row r="135">
      <c r="A135" s="19">
        <f>IF(129&lt;=$D$4,129,"")</f>
        <v>129</v>
      </c>
      <c r="B135" s="10">
        <f>IF(A135="","",F134)</f>
        <v>134365.07630650606</v>
      </c>
      <c r="C135" s="10">
        <f>IF(A135="","",B135*$F$4)</f>
        <v>1410.8333012183136</v>
      </c>
      <c r="D135" s="10">
        <f>IF(A135="","",E135-C135)</f>
        <v>137.20015463185837</v>
      </c>
      <c r="E135" s="10">
        <f>IF(A135="","",IF($E$3="SAC",$B$4/$D$4+C135,PMT($F$4,$D$4,-$B$4)))</f>
        <v>1548.033455850172</v>
      </c>
      <c r="F135" s="10">
        <f>IF(A135="","",MAX(0,B135-D135))</f>
        <v>134227.8761518742</v>
      </c>
    </row>
    <row r="136">
      <c r="A136" s="19">
        <f>IF(130&lt;=$D$4,130,"")</f>
        <v>130</v>
      </c>
      <c r="B136" s="10">
        <f>IF(A136="","",F135)</f>
        <v>134227.8761518742</v>
      </c>
      <c r="C136" s="10">
        <f>IF(A136="","",B136*$F$4)</f>
        <v>1409.3926995946792</v>
      </c>
      <c r="D136" s="10">
        <f>IF(A136="","",E136-C136)</f>
        <v>138.64075625549276</v>
      </c>
      <c r="E136" s="10">
        <f>IF(A136="","",IF($E$3="SAC",$B$4/$D$4+C136,PMT($F$4,$D$4,-$B$4)))</f>
        <v>1548.033455850172</v>
      </c>
      <c r="F136" s="10">
        <f>IF(A136="","",MAX(0,B136-D136))</f>
        <v>134089.2353956187</v>
      </c>
    </row>
    <row r="137">
      <c r="A137" s="19">
        <f>IF(131&lt;=$D$4,131,"")</f>
        <v>131</v>
      </c>
      <c r="B137" s="10">
        <f>IF(A137="","",F136)</f>
        <v>134089.2353956187</v>
      </c>
      <c r="C137" s="10">
        <f>IF(A137="","",B137*$F$4)</f>
        <v>1407.9369716539966</v>
      </c>
      <c r="D137" s="10">
        <f>IF(A137="","",E137-C137)</f>
        <v>140.09648419617542</v>
      </c>
      <c r="E137" s="10">
        <f>IF(A137="","",IF($E$3="SAC",$B$4/$D$4+C137,PMT($F$4,$D$4,-$B$4)))</f>
        <v>1548.033455850172</v>
      </c>
      <c r="F137" s="10">
        <f>IF(A137="","",MAX(0,B137-D137))</f>
        <v>133949.13891142255</v>
      </c>
    </row>
    <row r="138">
      <c r="A138" s="19">
        <f>IF(132&lt;=$D$4,132,"")</f>
        <v>132</v>
      </c>
      <c r="B138" s="10">
        <f>IF(A138="","",F137)</f>
        <v>133949.13891142255</v>
      </c>
      <c r="C138" s="10">
        <f>IF(A138="","",B138*$F$4)</f>
        <v>1406.465958569937</v>
      </c>
      <c r="D138" s="10">
        <f>IF(A138="","",E138-C138)</f>
        <v>141.5674972802351</v>
      </c>
      <c r="E138" s="10">
        <f>IF(A138="","",IF($E$3="SAC",$B$4/$D$4+C138,PMT($F$4,$D$4,-$B$4)))</f>
        <v>1548.033455850172</v>
      </c>
      <c r="F138" s="10">
        <f>IF(A138="","",MAX(0,B138-D138))</f>
        <v>133807.57141414232</v>
      </c>
    </row>
    <row r="139">
      <c r="A139" s="19">
        <f>IF(133&lt;=$D$4,133,"")</f>
        <v>133</v>
      </c>
      <c r="B139" s="10">
        <f>IF(A139="","",F138)</f>
        <v>133807.57141414232</v>
      </c>
      <c r="C139" s="10">
        <f>IF(A139="","",B139*$F$4)</f>
        <v>1404.9794998484945</v>
      </c>
      <c r="D139" s="10">
        <f>IF(A139="","",E139-C139)</f>
        <v>143.05395600167753</v>
      </c>
      <c r="E139" s="10">
        <f>IF(A139="","",IF($E$3="SAC",$B$4/$D$4+C139,PMT($F$4,$D$4,-$B$4)))</f>
        <v>1548.033455850172</v>
      </c>
      <c r="F139" s="10">
        <f>IF(A139="","",MAX(0,B139-D139))</f>
        <v>133664.51745814065</v>
      </c>
    </row>
    <row r="140">
      <c r="A140" s="19">
        <f>IF(134&lt;=$D$4,134,"")</f>
        <v>134</v>
      </c>
      <c r="B140" s="10">
        <f>IF(A140="","",F139)</f>
        <v>133664.51745814065</v>
      </c>
      <c r="C140" s="10">
        <f>IF(A140="","",B140*$F$4)</f>
        <v>1403.477433310477</v>
      </c>
      <c r="D140" s="10">
        <f>IF(A140="","",E140-C140)</f>
        <v>144.55602253969505</v>
      </c>
      <c r="E140" s="10">
        <f>IF(A140="","",IF($E$3="SAC",$B$4/$D$4+C140,PMT($F$4,$D$4,-$B$4)))</f>
        <v>1548.033455850172</v>
      </c>
      <c r="F140" s="10">
        <f>IF(A140="","",MAX(0,B140-D140))</f>
        <v>133519.96143560094</v>
      </c>
    </row>
    <row r="141">
      <c r="A141" s="19">
        <f>IF(135&lt;=$D$4,135,"")</f>
        <v>135</v>
      </c>
      <c r="B141" s="10">
        <f>IF(A141="","",F140)</f>
        <v>133519.96143560094</v>
      </c>
      <c r="C141" s="10">
        <f>IF(A141="","",B141*$F$4)</f>
        <v>1401.9595950738099</v>
      </c>
      <c r="D141" s="10">
        <f>IF(A141="","",E141-C141)</f>
        <v>146.07386077636215</v>
      </c>
      <c r="E141" s="10">
        <f>IF(A141="","",IF($E$3="SAC",$B$4/$D$4+C141,PMT($F$4,$D$4,-$B$4)))</f>
        <v>1548.033455850172</v>
      </c>
      <c r="F141" s="10">
        <f>IF(A141="","",MAX(0,B141-D141))</f>
        <v>133373.8875748246</v>
      </c>
    </row>
    <row r="142">
      <c r="A142" s="19">
        <f>IF(136&lt;=$D$4,136,"")</f>
        <v>136</v>
      </c>
      <c r="B142" s="10">
        <f>IF(A142="","",F141)</f>
        <v>133373.8875748246</v>
      </c>
      <c r="C142" s="10">
        <f>IF(A142="","",B142*$F$4)</f>
        <v>1400.4258195356583</v>
      </c>
      <c r="D142" s="10">
        <f>IF(A142="","",E142-C142)</f>
        <v>147.60763631451368</v>
      </c>
      <c r="E142" s="10">
        <f>IF(A142="","",IF($E$3="SAC",$B$4/$D$4+C142,PMT($F$4,$D$4,-$B$4)))</f>
        <v>1548.033455850172</v>
      </c>
      <c r="F142" s="10">
        <f>IF(A142="","",MAX(0,B142-D142))</f>
        <v>133226.27993851007</v>
      </c>
    </row>
    <row r="143">
      <c r="A143" s="19">
        <f>IF(137&lt;=$D$4,137,"")</f>
        <v>137</v>
      </c>
      <c r="B143" s="10">
        <f>IF(A143="","",F142)</f>
        <v>133226.27993851007</v>
      </c>
      <c r="C143" s="10">
        <f>IF(A143="","",B143*$F$4)</f>
        <v>1398.8759393543558</v>
      </c>
      <c r="D143" s="10">
        <f>IF(A143="","",E143-C143)</f>
        <v>149.15751649581625</v>
      </c>
      <c r="E143" s="10">
        <f>IF(A143="","",IF($E$3="SAC",$B$4/$D$4+C143,PMT($F$4,$D$4,-$B$4)))</f>
        <v>1548.033455850172</v>
      </c>
      <c r="F143" s="10">
        <f>IF(A143="","",MAX(0,B143-D143))</f>
        <v>133077.12242201425</v>
      </c>
    </row>
    <row r="144">
      <c r="A144" s="19">
        <f>IF(138&lt;=$D$4,138,"")</f>
        <v>138</v>
      </c>
      <c r="B144" s="10">
        <f>IF(A144="","",F143)</f>
        <v>133077.12242201425</v>
      </c>
      <c r="C144" s="10">
        <f>IF(A144="","",B144*$F$4)</f>
        <v>1397.3097854311497</v>
      </c>
      <c r="D144" s="10">
        <f>IF(A144="","",E144-C144)</f>
        <v>150.72367041902226</v>
      </c>
      <c r="E144" s="10">
        <f>IF(A144="","",IF($E$3="SAC",$B$4/$D$4+C144,PMT($F$4,$D$4,-$B$4)))</f>
        <v>1548.033455850172</v>
      </c>
      <c r="F144" s="10">
        <f>IF(A144="","",MAX(0,B144-D144))</f>
        <v>132926.39875159523</v>
      </c>
    </row>
    <row r="145">
      <c r="A145" s="19">
        <f>IF(139&lt;=$D$4,139,"")</f>
        <v>139</v>
      </c>
      <c r="B145" s="10">
        <f>IF(A145="","",F144)</f>
        <v>132926.39875159523</v>
      </c>
      <c r="C145" s="10">
        <f>IF(A145="","",B145*$F$4)</f>
        <v>1395.72718689175</v>
      </c>
      <c r="D145" s="10">
        <f>IF(A145="","",E145-C145)</f>
        <v>152.30626895842192</v>
      </c>
      <c r="E145" s="10">
        <f>IF(A145="","",IF($E$3="SAC",$B$4/$D$4+C145,PMT($F$4,$D$4,-$B$4)))</f>
        <v>1548.033455850172</v>
      </c>
      <c r="F145" s="10">
        <f>IF(A145="","",MAX(0,B145-D145))</f>
        <v>132774.0924826368</v>
      </c>
    </row>
    <row r="146">
      <c r="A146" s="19">
        <f>IF(140&lt;=$D$4,140,"")</f>
        <v>140</v>
      </c>
      <c r="B146" s="10">
        <f>IF(A146="","",F145)</f>
        <v>132774.0924826368</v>
      </c>
      <c r="C146" s="10">
        <f>IF(A146="","",B146*$F$4)</f>
        <v>1394.1279710676865</v>
      </c>
      <c r="D146" s="10">
        <f>IF(A146="","",E146-C146)</f>
        <v>153.90548478248547</v>
      </c>
      <c r="E146" s="10">
        <f>IF(A146="","",IF($E$3="SAC",$B$4/$D$4+C146,PMT($F$4,$D$4,-$B$4)))</f>
        <v>1548.033455850172</v>
      </c>
      <c r="F146" s="10">
        <f>IF(A146="","",MAX(0,B146-D146))</f>
        <v>132620.18699785433</v>
      </c>
    </row>
    <row r="147">
      <c r="A147" s="19">
        <f>IF(141&lt;=$D$4,141,"")</f>
        <v>141</v>
      </c>
      <c r="B147" s="10">
        <f>IF(A147="","",F146)</f>
        <v>132620.18699785433</v>
      </c>
      <c r="C147" s="10">
        <f>IF(A147="","",B147*$F$4)</f>
        <v>1392.5119634774705</v>
      </c>
      <c r="D147" s="10">
        <f>IF(A147="","",E147-C147)</f>
        <v>155.52149237270146</v>
      </c>
      <c r="E147" s="10">
        <f>IF(A147="","",IF($E$3="SAC",$B$4/$D$4+C147,PMT($F$4,$D$4,-$B$4)))</f>
        <v>1548.033455850172</v>
      </c>
      <c r="F147" s="10">
        <f>IF(A147="","",MAX(0,B147-D147))</f>
        <v>132464.66550548162</v>
      </c>
    </row>
    <row r="148">
      <c r="A148" s="19">
        <f>IF(142&lt;=$D$4,142,"")</f>
        <v>142</v>
      </c>
      <c r="B148" s="10">
        <f>IF(A148="","",F147)</f>
        <v>132464.66550548162</v>
      </c>
      <c r="C148" s="10">
        <f>IF(A148="","",B148*$F$4)</f>
        <v>1390.8789878075572</v>
      </c>
      <c r="D148" s="10">
        <f>IF(A148="","",E148-C148)</f>
        <v>157.15446804261478</v>
      </c>
      <c r="E148" s="10">
        <f>IF(A148="","",IF($E$3="SAC",$B$4/$D$4+C148,PMT($F$4,$D$4,-$B$4)))</f>
        <v>1548.033455850172</v>
      </c>
      <c r="F148" s="10">
        <f>IF(A148="","",MAX(0,B148-D148))</f>
        <v>132307.51103743902</v>
      </c>
    </row>
    <row r="149">
      <c r="A149" s="19">
        <f>IF(143&lt;=$D$4,143,"")</f>
        <v>143</v>
      </c>
      <c r="B149" s="10">
        <f>IF(A149="","",F148)</f>
        <v>132307.51103743902</v>
      </c>
      <c r="C149" s="10">
        <f>IF(A149="","",B149*$F$4)</f>
        <v>1389.2288658931097</v>
      </c>
      <c r="D149" s="10">
        <f>IF(A149="","",E149-C149)</f>
        <v>158.80458995706226</v>
      </c>
      <c r="E149" s="10">
        <f>IF(A149="","",IF($E$3="SAC",$B$4/$D$4+C149,PMT($F$4,$D$4,-$B$4)))</f>
        <v>1548.033455850172</v>
      </c>
      <c r="F149" s="10">
        <f>IF(A149="","",MAX(0,B149-D149))</f>
        <v>132148.70644748196</v>
      </c>
    </row>
    <row r="150">
      <c r="A150" s="19">
        <f>IF(144&lt;=$D$4,144,"")</f>
        <v>144</v>
      </c>
      <c r="B150" s="10">
        <f>IF(A150="","",F149)</f>
        <v>132148.70644748196</v>
      </c>
      <c r="C150" s="10">
        <f>IF(A150="","",B150*$F$4)</f>
        <v>1387.5614176985607</v>
      </c>
      <c r="D150" s="10">
        <f>IF(A150="","",E150-C150)</f>
        <v>160.4720381516113</v>
      </c>
      <c r="E150" s="10">
        <f>IF(A150="","",IF($E$3="SAC",$B$4/$D$4+C150,PMT($F$4,$D$4,-$B$4)))</f>
        <v>1548.033455850172</v>
      </c>
      <c r="F150" s="10">
        <f>IF(A150="","",MAX(0,B150-D150))</f>
        <v>131988.23440933035</v>
      </c>
    </row>
    <row r="151">
      <c r="A151" s="19">
        <f>IF(145&lt;=$D$4,145,"")</f>
        <v>145</v>
      </c>
      <c r="B151" s="10">
        <f>IF(A151="","",F150)</f>
        <v>131988.23440933035</v>
      </c>
      <c r="C151" s="10">
        <f>IF(A151="","",B151*$F$4)</f>
        <v>1385.8764612979687</v>
      </c>
      <c r="D151" s="10">
        <f>IF(A151="","",E151-C151)</f>
        <v>162.1569945522033</v>
      </c>
      <c r="E151" s="10">
        <f>IF(A151="","",IF($E$3="SAC",$B$4/$D$4+C151,PMT($F$4,$D$4,-$B$4)))</f>
        <v>1548.033455850172</v>
      </c>
      <c r="F151" s="10">
        <f>IF(A151="","",MAX(0,B151-D151))</f>
        <v>131826.07741477815</v>
      </c>
    </row>
    <row r="152">
      <c r="A152" s="19">
        <f>IF(146&lt;=$D$4,146,"")</f>
        <v>146</v>
      </c>
      <c r="B152" s="10">
        <f>IF(A152="","",F151)</f>
        <v>131826.07741477815</v>
      </c>
      <c r="C152" s="10">
        <f>IF(A152="","",B152*$F$4)</f>
        <v>1384.1738128551706</v>
      </c>
      <c r="D152" s="10">
        <f>IF(A152="","",E152-C152)</f>
        <v>163.85964299500142</v>
      </c>
      <c r="E152" s="10">
        <f>IF(A152="","",IF($E$3="SAC",$B$4/$D$4+C152,PMT($F$4,$D$4,-$B$4)))</f>
        <v>1548.033455850172</v>
      </c>
      <c r="F152" s="10">
        <f>IF(A152="","",MAX(0,B152-D152))</f>
        <v>131662.21777178315</v>
      </c>
    </row>
    <row r="153">
      <c r="A153" s="19">
        <f>IF(147&lt;=$D$4,147,"")</f>
        <v>147</v>
      </c>
      <c r="B153" s="10">
        <f>IF(A153="","",F152)</f>
        <v>131662.21777178315</v>
      </c>
      <c r="C153" s="10">
        <f>IF(A153="","",B153*$F$4)</f>
        <v>1382.4532866037232</v>
      </c>
      <c r="D153" s="10">
        <f>IF(A153="","",E153-C153)</f>
        <v>165.5801692464488</v>
      </c>
      <c r="E153" s="10">
        <f>IF(A153="","",IF($E$3="SAC",$B$4/$D$4+C153,PMT($F$4,$D$4,-$B$4)))</f>
        <v>1548.033455850172</v>
      </c>
      <c r="F153" s="10">
        <f>IF(A153="","",MAX(0,B153-D153))</f>
        <v>131496.6376025367</v>
      </c>
    </row>
    <row r="154">
      <c r="A154" s="19">
        <f>IF(148&lt;=$D$4,148,"")</f>
        <v>148</v>
      </c>
      <c r="B154" s="10">
        <f>IF(A154="","",F153)</f>
        <v>131496.6376025367</v>
      </c>
      <c r="C154" s="10">
        <f>IF(A154="","",B154*$F$4)</f>
        <v>1380.7146948266354</v>
      </c>
      <c r="D154" s="10">
        <f>IF(A154="","",E154-C154)</f>
        <v>167.31876102353658</v>
      </c>
      <c r="E154" s="10">
        <f>IF(A154="","",IF($E$3="SAC",$B$4/$D$4+C154,PMT($F$4,$D$4,-$B$4)))</f>
        <v>1548.033455850172</v>
      </c>
      <c r="F154" s="10">
        <f>IF(A154="","",MAX(0,B154-D154))</f>
        <v>131329.31884151316</v>
      </c>
    </row>
    <row r="155">
      <c r="A155" s="19">
        <f>IF(149&lt;=$D$4,149,"")</f>
        <v>149</v>
      </c>
      <c r="B155" s="10">
        <f>IF(A155="","",F154)</f>
        <v>131329.31884151316</v>
      </c>
      <c r="C155" s="10">
        <f>IF(A155="","",B155*$F$4)</f>
        <v>1378.9578478358883</v>
      </c>
      <c r="D155" s="10">
        <f>IF(A155="","",E155-C155)</f>
        <v>169.07560801428372</v>
      </c>
      <c r="E155" s="10">
        <f>IF(A155="","",IF($E$3="SAC",$B$4/$D$4+C155,PMT($F$4,$D$4,-$B$4)))</f>
        <v>1548.033455850172</v>
      </c>
      <c r="F155" s="10">
        <f>IF(A155="","",MAX(0,B155-D155))</f>
        <v>131160.24323349888</v>
      </c>
    </row>
    <row r="156">
      <c r="A156" s="19">
        <f>IF(150&lt;=$D$4,150,"")</f>
        <v>150</v>
      </c>
      <c r="B156" s="10">
        <f>IF(A156="","",F155)</f>
        <v>131160.24323349888</v>
      </c>
      <c r="C156" s="10">
        <f>IF(A156="","",B156*$F$4)</f>
        <v>1377.1825539517383</v>
      </c>
      <c r="D156" s="10">
        <f>IF(A156="","",E156-C156)</f>
        <v>170.85090189843368</v>
      </c>
      <c r="E156" s="10">
        <f>IF(A156="","",IF($E$3="SAC",$B$4/$D$4+C156,PMT($F$4,$D$4,-$B$4)))</f>
        <v>1548.033455850172</v>
      </c>
      <c r="F156" s="10">
        <f>IF(A156="","",MAX(0,B156-D156))</f>
        <v>130989.39233160045</v>
      </c>
    </row>
    <row r="157">
      <c r="A157" s="19">
        <f>IF(151&lt;=$D$4,151,"")</f>
        <v>151</v>
      </c>
      <c r="B157" s="10">
        <f>IF(A157="","",F156)</f>
        <v>130989.39233160045</v>
      </c>
      <c r="C157" s="10">
        <f>IF(A157="","",B157*$F$4)</f>
        <v>1375.3886194818049</v>
      </c>
      <c r="D157" s="10">
        <f>IF(A157="","",E157-C157)</f>
        <v>172.64483636836712</v>
      </c>
      <c r="E157" s="10">
        <f>IF(A157="","",IF($E$3="SAC",$B$4/$D$4+C157,PMT($F$4,$D$4,-$B$4)))</f>
        <v>1548.033455850172</v>
      </c>
      <c r="F157" s="10">
        <f>IF(A157="","",MAX(0,B157-D157))</f>
        <v>130816.74749523208</v>
      </c>
    </row>
    <row r="158">
      <c r="A158" s="19">
        <f>IF(152&lt;=$D$4,152,"")</f>
        <v>152</v>
      </c>
      <c r="B158" s="10">
        <f>IF(A158="","",F157)</f>
        <v>130816.74749523208</v>
      </c>
      <c r="C158" s="10">
        <f>IF(A158="","",B158*$F$4)</f>
        <v>1373.5758486999368</v>
      </c>
      <c r="D158" s="10">
        <f>IF(A158="","",E158-C158)</f>
        <v>174.45760715023516</v>
      </c>
      <c r="E158" s="10">
        <f>IF(A158="","",IF($E$3="SAC",$B$4/$D$4+C158,PMT($F$4,$D$4,-$B$4)))</f>
        <v>1548.033455850172</v>
      </c>
      <c r="F158" s="10">
        <f>IF(A158="","",MAX(0,B158-D158))</f>
        <v>130642.28988808184</v>
      </c>
    </row>
    <row r="159">
      <c r="A159" s="19">
        <f>IF(153&lt;=$D$4,153,"")</f>
        <v>153</v>
      </c>
      <c r="B159" s="10">
        <f>IF(A159="","",F158)</f>
        <v>130642.28988808184</v>
      </c>
      <c r="C159" s="10">
        <f>IF(A159="","",B159*$F$4)</f>
        <v>1371.7440438248593</v>
      </c>
      <c r="D159" s="10">
        <f>IF(A159="","",E159-C159)</f>
        <v>176.28941202531269</v>
      </c>
      <c r="E159" s="10">
        <f>IF(A159="","",IF($E$3="SAC",$B$4/$D$4+C159,PMT($F$4,$D$4,-$B$4)))</f>
        <v>1548.033455850172</v>
      </c>
      <c r="F159" s="10">
        <f>IF(A159="","",MAX(0,B159-D159))</f>
        <v>130466.00047605652</v>
      </c>
    </row>
    <row r="160">
      <c r="A160" s="19">
        <f>IF(154&lt;=$D$4,154,"")</f>
        <v>154</v>
      </c>
      <c r="B160" s="10">
        <f>IF(A160="","",F159)</f>
        <v>130466.00047605652</v>
      </c>
      <c r="C160" s="10">
        <f>IF(A160="","",B160*$F$4)</f>
        <v>1369.8930049985936</v>
      </c>
      <c r="D160" s="10">
        <f>IF(A160="","",E160-C160)</f>
        <v>178.1404508515784</v>
      </c>
      <c r="E160" s="10">
        <f>IF(A160="","",IF($E$3="SAC",$B$4/$D$4+C160,PMT($F$4,$D$4,-$B$4)))</f>
        <v>1548.033455850172</v>
      </c>
      <c r="F160" s="10">
        <f>IF(A160="","",MAX(0,B160-D160))</f>
        <v>130287.86002520494</v>
      </c>
    </row>
    <row r="161">
      <c r="A161" s="19">
        <f>IF(155&lt;=$D$4,155,"")</f>
        <v>155</v>
      </c>
      <c r="B161" s="10">
        <f>IF(A161="","",F160)</f>
        <v>130287.86002520494</v>
      </c>
      <c r="C161" s="10">
        <f>IF(A161="","",B161*$F$4)</f>
        <v>1368.022530264652</v>
      </c>
      <c r="D161" s="10">
        <f>IF(A161="","",E161-C161)</f>
        <v>180.01092558552</v>
      </c>
      <c r="E161" s="10">
        <f>IF(A161="","",IF($E$3="SAC",$B$4/$D$4+C161,PMT($F$4,$D$4,-$B$4)))</f>
        <v>1548.033455850172</v>
      </c>
      <c r="F161" s="10">
        <f>IF(A161="","",MAX(0,B161-D161))</f>
        <v>130107.84909961942</v>
      </c>
    </row>
    <row r="162">
      <c r="A162" s="19">
        <f>IF(156&lt;=$D$4,156,"")</f>
        <v>156</v>
      </c>
      <c r="B162" s="10">
        <f>IF(A162="","",F161)</f>
        <v>130107.84909961942</v>
      </c>
      <c r="C162" s="10">
        <f>IF(A162="","",B162*$F$4)</f>
        <v>1366.132415546004</v>
      </c>
      <c r="D162" s="10">
        <f>IF(A162="","",E162-C162)</f>
        <v>181.90104030416796</v>
      </c>
      <c r="E162" s="10">
        <f>IF(A162="","",IF($E$3="SAC",$B$4/$D$4+C162,PMT($F$4,$D$4,-$B$4)))</f>
        <v>1548.033455850172</v>
      </c>
      <c r="F162" s="10">
        <f>IF(A162="","",MAX(0,B162-D162))</f>
        <v>129925.94805931525</v>
      </c>
    </row>
    <row r="163">
      <c r="A163" s="19">
        <f>IF(157&lt;=$D$4,157,"")</f>
        <v>157</v>
      </c>
      <c r="B163" s="10">
        <f>IF(A163="","",F162)</f>
        <v>129925.94805931525</v>
      </c>
      <c r="C163" s="10">
        <f>IF(A163="","",B163*$F$4)</f>
        <v>1364.2224546228103</v>
      </c>
      <c r="D163" s="10">
        <f>IF(A163="","",E163-C163)</f>
        <v>183.81100122736166</v>
      </c>
      <c r="E163" s="10">
        <f>IF(A163="","",IF($E$3="SAC",$B$4/$D$4+C163,PMT($F$4,$D$4,-$B$4)))</f>
        <v>1548.033455850172</v>
      </c>
      <c r="F163" s="10">
        <f>IF(A163="","",MAX(0,B163-D163))</f>
        <v>129742.13705808789</v>
      </c>
    </row>
    <row r="164">
      <c r="A164" s="19">
        <f>IF(158&lt;=$D$4,158,"")</f>
        <v>158</v>
      </c>
      <c r="B164" s="10">
        <f>IF(A164="","",F163)</f>
        <v>129742.13705808789</v>
      </c>
      <c r="C164" s="10">
        <f>IF(A164="","",B164*$F$4)</f>
        <v>1362.292439109923</v>
      </c>
      <c r="D164" s="10">
        <f>IF(A164="","",E164-C164)</f>
        <v>185.74101674024905</v>
      </c>
      <c r="E164" s="10">
        <f>IF(A164="","",IF($E$3="SAC",$B$4/$D$4+C164,PMT($F$4,$D$4,-$B$4)))</f>
        <v>1548.033455850172</v>
      </c>
      <c r="F164" s="10">
        <f>IF(A164="","",MAX(0,B164-D164))</f>
        <v>129556.39604134763</v>
      </c>
    </row>
    <row r="165">
      <c r="A165" s="19">
        <f>IF(159&lt;=$D$4,159,"")</f>
        <v>159</v>
      </c>
      <c r="B165" s="10">
        <f>IF(A165="","",F164)</f>
        <v>129556.39604134763</v>
      </c>
      <c r="C165" s="10">
        <f>IF(A165="","",B165*$F$4)</f>
        <v>1360.3421584341502</v>
      </c>
      <c r="D165" s="10">
        <f>IF(A165="","",E165-C165)</f>
        <v>187.69129741602183</v>
      </c>
      <c r="E165" s="10">
        <f>IF(A165="","",IF($E$3="SAC",$B$4/$D$4+C165,PMT($F$4,$D$4,-$B$4)))</f>
        <v>1548.033455850172</v>
      </c>
      <c r="F165" s="10">
        <f>IF(A165="","",MAX(0,B165-D165))</f>
        <v>129368.70474393161</v>
      </c>
    </row>
    <row r="166">
      <c r="A166" s="19">
        <f>IF(160&lt;=$D$4,160,"")</f>
        <v>160</v>
      </c>
      <c r="B166" s="10">
        <f>IF(A166="","",F165)</f>
        <v>129368.70474393161</v>
      </c>
      <c r="C166" s="10">
        <f>IF(A166="","",B166*$F$4)</f>
        <v>1358.371399811282</v>
      </c>
      <c r="D166" s="10">
        <f>IF(A166="","",E166-C166)</f>
        <v>189.6620560388901</v>
      </c>
      <c r="E166" s="10">
        <f>IF(A166="","",IF($E$3="SAC",$B$4/$D$4+C166,PMT($F$4,$D$4,-$B$4)))</f>
        <v>1548.033455850172</v>
      </c>
      <c r="F166" s="10">
        <f>IF(A166="","",MAX(0,B166-D166))</f>
        <v>129179.04268789272</v>
      </c>
    </row>
    <row r="167">
      <c r="A167" s="19">
        <f>IF(161&lt;=$D$4,161,"")</f>
        <v>161</v>
      </c>
      <c r="B167" s="10">
        <f>IF(A167="","",F166)</f>
        <v>129179.04268789272</v>
      </c>
      <c r="C167" s="10">
        <f>IF(A167="","",B167*$F$4)</f>
        <v>1356.3799482228737</v>
      </c>
      <c r="D167" s="10">
        <f>IF(A167="","",E167-C167)</f>
        <v>191.65350762729827</v>
      </c>
      <c r="E167" s="10">
        <f>IF(A167="","",IF($E$3="SAC",$B$4/$D$4+C167,PMT($F$4,$D$4,-$B$4)))</f>
        <v>1548.033455850172</v>
      </c>
      <c r="F167" s="10">
        <f>IF(A167="","",MAX(0,B167-D167))</f>
        <v>128987.38918026543</v>
      </c>
    </row>
    <row r="168">
      <c r="A168" s="19">
        <f>IF(162&lt;=$D$4,162,"")</f>
        <v>162</v>
      </c>
      <c r="B168" s="10">
        <f>IF(A168="","",F167)</f>
        <v>128987.38918026543</v>
      </c>
      <c r="C168" s="10">
        <f>IF(A168="","",B168*$F$4)</f>
        <v>1354.367586392787</v>
      </c>
      <c r="D168" s="10">
        <f>IF(A168="","",E168-C168)</f>
        <v>193.66586945738504</v>
      </c>
      <c r="E168" s="10">
        <f>IF(A168="","",IF($E$3="SAC",$B$4/$D$4+C168,PMT($F$4,$D$4,-$B$4)))</f>
        <v>1548.033455850172</v>
      </c>
      <c r="F168" s="10">
        <f>IF(A168="","",MAX(0,B168-D168))</f>
        <v>128793.72331080804</v>
      </c>
    </row>
    <row r="169">
      <c r="A169" s="19">
        <f>IF(163&lt;=$D$4,163,"")</f>
        <v>163</v>
      </c>
      <c r="B169" s="10">
        <f>IF(A169="","",F168)</f>
        <v>128793.72331080804</v>
      </c>
      <c r="C169" s="10">
        <f>IF(A169="","",B169*$F$4)</f>
        <v>1352.3340947634845</v>
      </c>
      <c r="D169" s="10">
        <f>IF(A169="","",E169-C169)</f>
        <v>195.69936108668753</v>
      </c>
      <c r="E169" s="10">
        <f>IF(A169="","",IF($E$3="SAC",$B$4/$D$4+C169,PMT($F$4,$D$4,-$B$4)))</f>
        <v>1548.033455850172</v>
      </c>
      <c r="F169" s="10">
        <f>IF(A169="","",MAX(0,B169-D169))</f>
        <v>128598.02394972135</v>
      </c>
    </row>
    <row r="170">
      <c r="A170" s="19">
        <f>IF(164&lt;=$D$4,164,"")</f>
        <v>164</v>
      </c>
      <c r="B170" s="10">
        <f>IF(A170="","",F169)</f>
        <v>128598.02394972135</v>
      </c>
      <c r="C170" s="10">
        <f>IF(A170="","",B170*$F$4)</f>
        <v>1350.2792514720743</v>
      </c>
      <c r="D170" s="10">
        <f>IF(A170="","",E170-C170)</f>
        <v>197.7542043780977</v>
      </c>
      <c r="E170" s="10">
        <f>IF(A170="","",IF($E$3="SAC",$B$4/$D$4+C170,PMT($F$4,$D$4,-$B$4)))</f>
        <v>1548.033455850172</v>
      </c>
      <c r="F170" s="10">
        <f>IF(A170="","",MAX(0,B170-D170))</f>
        <v>128400.26974534325</v>
      </c>
    </row>
    <row r="171">
      <c r="A171" s="19">
        <f>IF(165&lt;=$D$4,165,"")</f>
        <v>165</v>
      </c>
      <c r="B171" s="10">
        <f>IF(A171="","",F170)</f>
        <v>128400.26974534325</v>
      </c>
      <c r="C171" s="10">
        <f>IF(A171="","",B171*$F$4)</f>
        <v>1348.2028323261043</v>
      </c>
      <c r="D171" s="10">
        <f>IF(A171="","",E171-C171)</f>
        <v>199.83062352406773</v>
      </c>
      <c r="E171" s="10">
        <f>IF(A171="","",IF($E$3="SAC",$B$4/$D$4+C171,PMT($F$4,$D$4,-$B$4)))</f>
        <v>1548.033455850172</v>
      </c>
      <c r="F171" s="10">
        <f>IF(A171="","",MAX(0,B171-D171))</f>
        <v>128200.43912181917</v>
      </c>
    </row>
    <row r="172">
      <c r="A172" s="19">
        <f>IF(166&lt;=$D$4,166,"")</f>
        <v>166</v>
      </c>
      <c r="B172" s="10">
        <f>IF(A172="","",F171)</f>
        <v>128200.43912181917</v>
      </c>
      <c r="C172" s="10">
        <f>IF(A172="","",B172*$F$4)</f>
        <v>1346.1046107791014</v>
      </c>
      <c r="D172" s="10">
        <f>IF(A172="","",E172-C172)</f>
        <v>201.92884507107055</v>
      </c>
      <c r="E172" s="10">
        <f>IF(A172="","",IF($E$3="SAC",$B$4/$D$4+C172,PMT($F$4,$D$4,-$B$4)))</f>
        <v>1548.033455850172</v>
      </c>
      <c r="F172" s="10">
        <f>IF(A172="","",MAX(0,B172-D172))</f>
        <v>127998.5102767481</v>
      </c>
    </row>
    <row r="173">
      <c r="A173" s="19">
        <f>IF(167&lt;=$D$4,167,"")</f>
        <v>167</v>
      </c>
      <c r="B173" s="10">
        <f>IF(A173="","",F172)</f>
        <v>127998.5102767481</v>
      </c>
      <c r="C173" s="10">
        <f>IF(A173="","",B173*$F$4)</f>
        <v>1343.9843579058552</v>
      </c>
      <c r="D173" s="10">
        <f>IF(A173="","",E173-C173)</f>
        <v>204.04909794431683</v>
      </c>
      <c r="E173" s="10">
        <f>IF(A173="","",IF($E$3="SAC",$B$4/$D$4+C173,PMT($F$4,$D$4,-$B$4)))</f>
        <v>1548.033455850172</v>
      </c>
      <c r="F173" s="10">
        <f>IF(A173="","",MAX(0,B173-D173))</f>
        <v>127794.46117880379</v>
      </c>
    </row>
    <row r="174">
      <c r="A174" s="19">
        <f>IF(168&lt;=$D$4,168,"")</f>
        <v>168</v>
      </c>
      <c r="B174" s="10">
        <f>IF(A174="","",F173)</f>
        <v>127794.46117880379</v>
      </c>
      <c r="C174" s="10">
        <f>IF(A174="","",B174*$F$4)</f>
        <v>1341.84184237744</v>
      </c>
      <c r="D174" s="10">
        <f>IF(A174="","",E174-C174)</f>
        <v>206.19161347273212</v>
      </c>
      <c r="E174" s="10">
        <f>IF(A174="","",IF($E$3="SAC",$B$4/$D$4+C174,PMT($F$4,$D$4,-$B$4)))</f>
        <v>1548.033455850172</v>
      </c>
      <c r="F174" s="10">
        <f>IF(A174="","",MAX(0,B174-D174))</f>
        <v>127588.26956533105</v>
      </c>
    </row>
    <row r="175">
      <c r="A175" s="19">
        <f>IF(169&lt;=$D$4,169,"")</f>
        <v>169</v>
      </c>
      <c r="B175" s="10">
        <f>IF(A175="","",F174)</f>
        <v>127588.26956533105</v>
      </c>
      <c r="C175" s="10">
        <f>IF(A175="","",B175*$F$4)</f>
        <v>1339.6768304359762</v>
      </c>
      <c r="D175" s="10">
        <f>IF(A175="","",E175-C175)</f>
        <v>208.35662541419583</v>
      </c>
      <c r="E175" s="10">
        <f>IF(A175="","",IF($E$3="SAC",$B$4/$D$4+C175,PMT($F$4,$D$4,-$B$4)))</f>
        <v>1548.033455850172</v>
      </c>
      <c r="F175" s="10">
        <f>IF(A175="","",MAX(0,B175-D175))</f>
        <v>127379.91293991686</v>
      </c>
    </row>
    <row r="176">
      <c r="A176" s="19">
        <f>IF(170&lt;=$D$4,170,"")</f>
        <v>170</v>
      </c>
      <c r="B176" s="10">
        <f>IF(A176="","",F175)</f>
        <v>127379.91293991686</v>
      </c>
      <c r="C176" s="10">
        <f>IF(A176="","",B176*$F$4)</f>
        <v>1337.4890858691272</v>
      </c>
      <c r="D176" s="10">
        <f>IF(A176="","",E176-C176)</f>
        <v>210.54436998104484</v>
      </c>
      <c r="E176" s="10">
        <f>IF(A176="","",IF($E$3="SAC",$B$4/$D$4+C176,PMT($F$4,$D$4,-$B$4)))</f>
        <v>1548.033455850172</v>
      </c>
      <c r="F176" s="10">
        <f>IF(A176="","",MAX(0,B176-D176))</f>
        <v>127169.36856993582</v>
      </c>
    </row>
    <row r="177">
      <c r="A177" s="19">
        <f>IF(171&lt;=$D$4,171,"")</f>
        <v>171</v>
      </c>
      <c r="B177" s="10">
        <f>IF(A177="","",F176)</f>
        <v>127169.36856993582</v>
      </c>
      <c r="C177" s="10">
        <f>IF(A177="","",B177*$F$4)</f>
        <v>1335.2783699843262</v>
      </c>
      <c r="D177" s="10">
        <f>IF(A177="","",E177-C177)</f>
        <v>212.75508586584579</v>
      </c>
      <c r="E177" s="10">
        <f>IF(A177="","",IF($E$3="SAC",$B$4/$D$4+C177,PMT($F$4,$D$4,-$B$4)))</f>
        <v>1548.033455850172</v>
      </c>
      <c r="F177" s="10">
        <f>IF(A177="","",MAX(0,B177-D177))</f>
        <v>126956.61348406997</v>
      </c>
    </row>
    <row r="178">
      <c r="A178" s="19">
        <f>IF(172&lt;=$D$4,172,"")</f>
        <v>172</v>
      </c>
      <c r="B178" s="10">
        <f>IF(A178="","",F177)</f>
        <v>126956.61348406997</v>
      </c>
      <c r="C178" s="10">
        <f>IF(A178="","",B178*$F$4)</f>
        <v>1333.0444415827346</v>
      </c>
      <c r="D178" s="10">
        <f>IF(A178="","",E178-C178)</f>
        <v>214.98901426743737</v>
      </c>
      <c r="E178" s="10">
        <f>IF(A178="","",IF($E$3="SAC",$B$4/$D$4+C178,PMT($F$4,$D$4,-$B$4)))</f>
        <v>1548.033455850172</v>
      </c>
      <c r="F178" s="10">
        <f>IF(A178="","",MAX(0,B178-D178))</f>
        <v>126741.62446980253</v>
      </c>
    </row>
    <row r="179">
      <c r="A179" s="19">
        <f>IF(173&lt;=$D$4,173,"")</f>
        <v>173</v>
      </c>
      <c r="B179" s="10">
        <f>IF(A179="","",F178)</f>
        <v>126741.62446980253</v>
      </c>
      <c r="C179" s="10">
        <f>IF(A179="","",B179*$F$4)</f>
        <v>1330.7870569329266</v>
      </c>
      <c r="D179" s="10">
        <f>IF(A179="","",E179-C179)</f>
        <v>217.24639891724541</v>
      </c>
      <c r="E179" s="10">
        <f>IF(A179="","",IF($E$3="SAC",$B$4/$D$4+C179,PMT($F$4,$D$4,-$B$4)))</f>
        <v>1548.033455850172</v>
      </c>
      <c r="F179" s="10">
        <f>IF(A179="","",MAX(0,B179-D179))</f>
        <v>126524.37807088529</v>
      </c>
    </row>
    <row r="180">
      <c r="A180" s="19">
        <f>IF(174&lt;=$D$4,174,"")</f>
        <v>174</v>
      </c>
      <c r="B180" s="10">
        <f>IF(A180="","",F179)</f>
        <v>126524.37807088529</v>
      </c>
      <c r="C180" s="10">
        <f>IF(A180="","",B180*$F$4)</f>
        <v>1328.5059697442955</v>
      </c>
      <c r="D180" s="10">
        <f>IF(A180="","",E180-C180)</f>
        <v>219.5274861058765</v>
      </c>
      <c r="E180" s="10">
        <f>IF(A180="","",IF($E$3="SAC",$B$4/$D$4+C180,PMT($F$4,$D$4,-$B$4)))</f>
        <v>1548.033455850172</v>
      </c>
      <c r="F180" s="10">
        <f>IF(A180="","",MAX(0,B180-D180))</f>
        <v>126304.85058477941</v>
      </c>
    </row>
    <row r="181">
      <c r="A181" s="19">
        <f>IF(175&lt;=$D$4,175,"")</f>
        <v>175</v>
      </c>
      <c r="B181" s="10">
        <f>IF(A181="","",F180)</f>
        <v>126304.85058477941</v>
      </c>
      <c r="C181" s="10">
        <f>IF(A181="","",B181*$F$4)</f>
        <v>1326.200931140184</v>
      </c>
      <c r="D181" s="10">
        <f>IF(A181="","",E181-C181)</f>
        <v>221.8325247099881</v>
      </c>
      <c r="E181" s="10">
        <f>IF(A181="","",IF($E$3="SAC",$B$4/$D$4+C181,PMT($F$4,$D$4,-$B$4)))</f>
        <v>1548.033455850172</v>
      </c>
      <c r="F181" s="10">
        <f>IF(A181="","",MAX(0,B181-D181))</f>
        <v>126083.01806006943</v>
      </c>
    </row>
    <row r="182">
      <c r="A182" s="19">
        <f>IF(176&lt;=$D$4,176,"")</f>
        <v>176</v>
      </c>
      <c r="B182" s="10">
        <f>IF(A182="","",F181)</f>
        <v>126083.01806006943</v>
      </c>
      <c r="C182" s="10">
        <f>IF(A182="","",B182*$F$4)</f>
        <v>1323.8716896307292</v>
      </c>
      <c r="D182" s="10">
        <f>IF(A182="","",E182-C182)</f>
        <v>224.16176621944282</v>
      </c>
      <c r="E182" s="10">
        <f>IF(A182="","",IF($E$3="SAC",$B$4/$D$4+C182,PMT($F$4,$D$4,-$B$4)))</f>
        <v>1548.033455850172</v>
      </c>
      <c r="F182" s="10">
        <f>IF(A182="","",MAX(0,B182-D182))</f>
        <v>125858.85629384998</v>
      </c>
    </row>
    <row r="183">
      <c r="A183" s="19">
        <f>IF(177&lt;=$D$4,177,"")</f>
        <v>177</v>
      </c>
      <c r="B183" s="10">
        <f>IF(A183="","",F182)</f>
        <v>125858.85629384998</v>
      </c>
      <c r="C183" s="10">
        <f>IF(A183="","",B183*$F$4)</f>
        <v>1321.517991085425</v>
      </c>
      <c r="D183" s="10">
        <f>IF(A183="","",E183-C183)</f>
        <v>226.5154647647471</v>
      </c>
      <c r="E183" s="10">
        <f>IF(A183="","",IF($E$3="SAC",$B$4/$D$4+C183,PMT($F$4,$D$4,-$B$4)))</f>
        <v>1548.033455850172</v>
      </c>
      <c r="F183" s="10">
        <f>IF(A183="","",MAX(0,B183-D183))</f>
        <v>125632.34082908524</v>
      </c>
    </row>
    <row r="184">
      <c r="A184" s="19">
        <f>IF(178&lt;=$D$4,178,"")</f>
        <v>178</v>
      </c>
      <c r="B184" s="10">
        <f>IF(A184="","",F183)</f>
        <v>125632.34082908524</v>
      </c>
      <c r="C184" s="10">
        <f>IF(A184="","",B184*$F$4)</f>
        <v>1319.139578705395</v>
      </c>
      <c r="D184" s="10">
        <f>IF(A184="","",E184-C184)</f>
        <v>228.89387714477698</v>
      </c>
      <c r="E184" s="10">
        <f>IF(A184="","",IF($E$3="SAC",$B$4/$D$4+C184,PMT($F$4,$D$4,-$B$4)))</f>
        <v>1548.033455850172</v>
      </c>
      <c r="F184" s="10">
        <f>IF(A184="","",MAX(0,B184-D184))</f>
        <v>125403.44695194047</v>
      </c>
    </row>
    <row r="185">
      <c r="A185" s="19">
        <f>IF(179&lt;=$D$4,179,"")</f>
        <v>179</v>
      </c>
      <c r="B185" s="10">
        <f>IF(A185="","",F184)</f>
        <v>125403.44695194047</v>
      </c>
      <c r="C185" s="10">
        <f>IF(A185="","",B185*$F$4)</f>
        <v>1316.736192995375</v>
      </c>
      <c r="D185" s="10">
        <f>IF(A185="","",E185-C185)</f>
        <v>231.29726285479705</v>
      </c>
      <c r="E185" s="10">
        <f>IF(A185="","",IF($E$3="SAC",$B$4/$D$4+C185,PMT($F$4,$D$4,-$B$4)))</f>
        <v>1548.033455850172</v>
      </c>
      <c r="F185" s="10">
        <f>IF(A185="","",MAX(0,B185-D185))</f>
        <v>125172.14968908567</v>
      </c>
    </row>
    <row r="186">
      <c r="A186" s="19">
        <f>IF(180&lt;=$D$4,180,"")</f>
        <v>180</v>
      </c>
      <c r="B186" s="10">
        <f>IF(A186="","",F185)</f>
        <v>125172.14968908567</v>
      </c>
      <c r="C186" s="10">
        <f>IF(A186="","",B186*$F$4)</f>
        <v>1314.3075717353995</v>
      </c>
      <c r="D186" s="10">
        <f>IF(A186="","",E186-C186)</f>
        <v>233.7258841147725</v>
      </c>
      <c r="E186" s="10">
        <f>IF(A186="","",IF($E$3="SAC",$B$4/$D$4+C186,PMT($F$4,$D$4,-$B$4)))</f>
        <v>1548.033455850172</v>
      </c>
      <c r="F186" s="10">
        <f>IF(A186="","",MAX(0,B186-D186))</f>
        <v>124938.4238049709</v>
      </c>
    </row>
    <row r="187">
      <c r="A187" s="19">
        <f>IF(181&lt;=$D$4,181,"")</f>
        <v>181</v>
      </c>
      <c r="B187" s="10">
        <f>IF(A187="","",F186)</f>
        <v>124938.4238049709</v>
      </c>
      <c r="C187" s="10">
        <f>IF(A187="","",B187*$F$4)</f>
        <v>1311.8534499521945</v>
      </c>
      <c r="D187" s="10">
        <f>IF(A187="","",E187-C187)</f>
        <v>236.18000589797748</v>
      </c>
      <c r="E187" s="10">
        <f>IF(A187="","",IF($E$3="SAC",$B$4/$D$4+C187,PMT($F$4,$D$4,-$B$4)))</f>
        <v>1548.033455850172</v>
      </c>
      <c r="F187" s="10">
        <f>IF(A187="","",MAX(0,B187-D187))</f>
        <v>124702.24379907292</v>
      </c>
    </row>
    <row r="188">
      <c r="A188" s="19">
        <f>IF(182&lt;=$D$4,182,"")</f>
        <v>182</v>
      </c>
      <c r="B188" s="10">
        <f>IF(A188="","",F187)</f>
        <v>124702.24379907292</v>
      </c>
      <c r="C188" s="10">
        <f>IF(A188="","",B188*$F$4)</f>
        <v>1309.3735598902658</v>
      </c>
      <c r="D188" s="10">
        <f>IF(A188="","",E188-C188)</f>
        <v>238.65989595990618</v>
      </c>
      <c r="E188" s="10">
        <f>IF(A188="","",IF($E$3="SAC",$B$4/$D$4+C188,PMT($F$4,$D$4,-$B$4)))</f>
        <v>1548.033455850172</v>
      </c>
      <c r="F188" s="10">
        <f>IF(A188="","",MAX(0,B188-D188))</f>
        <v>124463.58390311302</v>
      </c>
    </row>
    <row r="189">
      <c r="A189" s="19">
        <f>IF(183&lt;=$D$4,183,"")</f>
        <v>183</v>
      </c>
      <c r="B189" s="10">
        <f>IF(A189="","",F188)</f>
        <v>124463.58390311302</v>
      </c>
      <c r="C189" s="10">
        <f>IF(A189="","",B189*$F$4)</f>
        <v>1306.8676309826867</v>
      </c>
      <c r="D189" s="10">
        <f>IF(A189="","",E189-C189)</f>
        <v>241.1658248674853</v>
      </c>
      <c r="E189" s="10">
        <f>IF(A189="","",IF($E$3="SAC",$B$4/$D$4+C189,PMT($F$4,$D$4,-$B$4)))</f>
        <v>1548.033455850172</v>
      </c>
      <c r="F189" s="10">
        <f>IF(A189="","",MAX(0,B189-D189))</f>
        <v>124222.41807824554</v>
      </c>
    </row>
    <row r="190">
      <c r="A190" s="19">
        <f>IF(184&lt;=$D$4,184,"")</f>
        <v>184</v>
      </c>
      <c r="B190" s="10">
        <f>IF(A190="","",F189)</f>
        <v>124222.41807824554</v>
      </c>
      <c r="C190" s="10">
        <f>IF(A190="","",B190*$F$4)</f>
        <v>1304.3353898215782</v>
      </c>
      <c r="D190" s="10">
        <f>IF(A190="","",E190-C190)</f>
        <v>243.69806602859376</v>
      </c>
      <c r="E190" s="10">
        <f>IF(A190="","",IF($E$3="SAC",$B$4/$D$4+C190,PMT($F$4,$D$4,-$B$4)))</f>
        <v>1548.033455850172</v>
      </c>
      <c r="F190" s="10">
        <f>IF(A190="","",MAX(0,B190-D190))</f>
        <v>123978.72001221695</v>
      </c>
    </row>
    <row r="191">
      <c r="A191" s="19">
        <f>IF(185&lt;=$D$4,185,"")</f>
        <v>185</v>
      </c>
      <c r="B191" s="10">
        <f>IF(A191="","",F190)</f>
        <v>123978.72001221695</v>
      </c>
      <c r="C191" s="10">
        <f>IF(A191="","",B191*$F$4)</f>
        <v>1301.776560128278</v>
      </c>
      <c r="D191" s="10">
        <f>IF(A191="","",E191-C191)</f>
        <v>246.2568957218939</v>
      </c>
      <c r="E191" s="10">
        <f>IF(A191="","",IF($E$3="SAC",$B$4/$D$4+C191,PMT($F$4,$D$4,-$B$4)))</f>
        <v>1548.033455850172</v>
      </c>
      <c r="F191" s="10">
        <f>IF(A191="","",MAX(0,B191-D191))</f>
        <v>123732.46311649506</v>
      </c>
    </row>
    <row r="192">
      <c r="A192" s="19">
        <f>IF(186&lt;=$D$4,186,"")</f>
        <v>186</v>
      </c>
      <c r="B192" s="10">
        <f>IF(A192="","",F191)</f>
        <v>123732.46311649506</v>
      </c>
      <c r="C192" s="10">
        <f>IF(A192="","",B192*$F$4)</f>
        <v>1299.190862723198</v>
      </c>
      <c r="D192" s="10">
        <f>IF(A192="","",E192-C192)</f>
        <v>248.84259312697395</v>
      </c>
      <c r="E192" s="10">
        <f>IF(A192="","",IF($E$3="SAC",$B$4/$D$4+C192,PMT($F$4,$D$4,-$B$4)))</f>
        <v>1548.033455850172</v>
      </c>
      <c r="F192" s="10">
        <f>IF(A192="","",MAX(0,B192-D192))</f>
        <v>123483.62052336808</v>
      </c>
    </row>
    <row r="193">
      <c r="A193" s="19">
        <f>IF(187&lt;=$D$4,187,"")</f>
        <v>187</v>
      </c>
      <c r="B193" s="10">
        <f>IF(A193="","",F192)</f>
        <v>123483.62052336808</v>
      </c>
      <c r="C193" s="10">
        <f>IF(A193="","",B193*$F$4)</f>
        <v>1296.578015495365</v>
      </c>
      <c r="D193" s="10">
        <f>IF(A193="","",E193-C193)</f>
        <v>251.45544035480702</v>
      </c>
      <c r="E193" s="10">
        <f>IF(A193="","",IF($E$3="SAC",$B$4/$D$4+C193,PMT($F$4,$D$4,-$B$4)))</f>
        <v>1548.033455850172</v>
      </c>
      <c r="F193" s="10">
        <f>IF(A193="","",MAX(0,B193-D193))</f>
        <v>123232.16508301327</v>
      </c>
    </row>
    <row r="194">
      <c r="A194" s="19">
        <f>IF(188&lt;=$D$4,188,"")</f>
        <v>188</v>
      </c>
      <c r="B194" s="10">
        <f>IF(A194="","",F193)</f>
        <v>123232.16508301327</v>
      </c>
      <c r="C194" s="10">
        <f>IF(A194="","",B194*$F$4)</f>
        <v>1293.9377333716395</v>
      </c>
      <c r="D194" s="10">
        <f>IF(A194="","",E194-C194)</f>
        <v>254.09572247853248</v>
      </c>
      <c r="E194" s="10">
        <f>IF(A194="","",IF($E$3="SAC",$B$4/$D$4+C194,PMT($F$4,$D$4,-$B$4)))</f>
        <v>1548.033455850172</v>
      </c>
      <c r="F194" s="10">
        <f>IF(A194="","",MAX(0,B194-D194))</f>
        <v>122978.06936053473</v>
      </c>
    </row>
    <row r="195">
      <c r="A195" s="19">
        <f>IF(189&lt;=$D$4,189,"")</f>
        <v>189</v>
      </c>
      <c r="B195" s="10">
        <f>IF(A195="","",F194)</f>
        <v>122978.06936053473</v>
      </c>
      <c r="C195" s="10">
        <f>IF(A195="","",B195*$F$4)</f>
        <v>1291.2697282856147</v>
      </c>
      <c r="D195" s="10">
        <f>IF(A195="","",E195-C195)</f>
        <v>256.76372756455726</v>
      </c>
      <c r="E195" s="10">
        <f>IF(A195="","",IF($E$3="SAC",$B$4/$D$4+C195,PMT($F$4,$D$4,-$B$4)))</f>
        <v>1548.033455850172</v>
      </c>
      <c r="F195" s="10">
        <f>IF(A195="","",MAX(0,B195-D195))</f>
        <v>122721.30563297018</v>
      </c>
    </row>
    <row r="196">
      <c r="A196" s="19">
        <f>IF(190&lt;=$D$4,190,"")</f>
        <v>190</v>
      </c>
      <c r="B196" s="10">
        <f>IF(A196="","",F195)</f>
        <v>122721.30563297018</v>
      </c>
      <c r="C196" s="10">
        <f>IF(A196="","",B196*$F$4)</f>
        <v>1288.573709146187</v>
      </c>
      <c r="D196" s="10">
        <f>IF(A196="","",E196-C196)</f>
        <v>259.45974670398505</v>
      </c>
      <c r="E196" s="10">
        <f>IF(A196="","",IF($E$3="SAC",$B$4/$D$4+C196,PMT($F$4,$D$4,-$B$4)))</f>
        <v>1548.033455850172</v>
      </c>
      <c r="F196" s="10">
        <f>IF(A196="","",MAX(0,B196-D196))</f>
        <v>122461.8458862662</v>
      </c>
    </row>
    <row r="197">
      <c r="A197" s="19">
        <f>IF(191&lt;=$D$4,191,"")</f>
        <v>191</v>
      </c>
      <c r="B197" s="10">
        <f>IF(A197="","",F196)</f>
        <v>122461.8458862662</v>
      </c>
      <c r="C197" s="10">
        <f>IF(A197="","",B197*$F$4)</f>
        <v>1285.849381805795</v>
      </c>
      <c r="D197" s="10">
        <f>IF(A197="","",E197-C197)</f>
        <v>262.184074044377</v>
      </c>
      <c r="E197" s="10">
        <f>IF(A197="","",IF($E$3="SAC",$B$4/$D$4+C197,PMT($F$4,$D$4,-$B$4)))</f>
        <v>1548.033455850172</v>
      </c>
      <c r="F197" s="10">
        <f>IF(A197="","",MAX(0,B197-D197))</f>
        <v>122199.66181222182</v>
      </c>
    </row>
    <row r="198">
      <c r="A198" s="19">
        <f>IF(192&lt;=$D$4,192,"")</f>
        <v>192</v>
      </c>
      <c r="B198" s="10">
        <f>IF(A198="","",F197)</f>
        <v>122199.66181222182</v>
      </c>
      <c r="C198" s="10">
        <f>IF(A198="","",B198*$F$4)</f>
        <v>1283.0964490283293</v>
      </c>
      <c r="D198" s="10">
        <f>IF(A198="","",E198-C198)</f>
        <v>264.9370068218427</v>
      </c>
      <c r="E198" s="10">
        <f>IF(A198="","",IF($E$3="SAC",$B$4/$D$4+C198,PMT($F$4,$D$4,-$B$4)))</f>
        <v>1548.033455850172</v>
      </c>
      <c r="F198" s="10">
        <f>IF(A198="","",MAX(0,B198-D198))</f>
        <v>121934.72480539998</v>
      </c>
    </row>
    <row r="199">
      <c r="A199" s="19">
        <f>IF(193&lt;=$D$4,193,"")</f>
        <v>193</v>
      </c>
      <c r="B199" s="10">
        <f>IF(A199="","",F198)</f>
        <v>121934.72480539998</v>
      </c>
      <c r="C199" s="10">
        <f>IF(A199="","",B199*$F$4)</f>
        <v>1280.3146104567</v>
      </c>
      <c r="D199" s="10">
        <f>IF(A199="","",E199-C199)</f>
        <v>267.71884539347207</v>
      </c>
      <c r="E199" s="10">
        <f>IF(A199="","",IF($E$3="SAC",$B$4/$D$4+C199,PMT($F$4,$D$4,-$B$4)))</f>
        <v>1548.033455850172</v>
      </c>
      <c r="F199" s="10">
        <f>IF(A199="","",MAX(0,B199-D199))</f>
        <v>121667.00596000651</v>
      </c>
    </row>
    <row r="200">
      <c r="A200" s="19">
        <f>IF(194&lt;=$D$4,194,"")</f>
        <v>194</v>
      </c>
      <c r="B200" s="10">
        <f>IF(A200="","",F199)</f>
        <v>121667.00596000651</v>
      </c>
      <c r="C200" s="10">
        <f>IF(A200="","",B200*$F$4)</f>
        <v>1277.5035625800685</v>
      </c>
      <c r="D200" s="10">
        <f>IF(A200="","",E200-C200)</f>
        <v>270.52989327010346</v>
      </c>
      <c r="E200" s="10">
        <f>IF(A200="","",IF($E$3="SAC",$B$4/$D$4+C200,PMT($F$4,$D$4,-$B$4)))</f>
        <v>1548.033455850172</v>
      </c>
      <c r="F200" s="10">
        <f>IF(A200="","",MAX(0,B200-D200))</f>
        <v>121396.47606673642</v>
      </c>
    </row>
    <row r="201">
      <c r="A201" s="19">
        <f>IF(195&lt;=$D$4,195,"")</f>
        <v>195</v>
      </c>
      <c r="B201" s="10">
        <f>IF(A201="","",F200)</f>
        <v>121396.47606673642</v>
      </c>
      <c r="C201" s="10">
        <f>IF(A201="","",B201*$F$4)</f>
        <v>1274.6629987007325</v>
      </c>
      <c r="D201" s="10">
        <f>IF(A201="","",E201-C201)</f>
        <v>273.3704571494395</v>
      </c>
      <c r="E201" s="10">
        <f>IF(A201="","",IF($E$3="SAC",$B$4/$D$4+C201,PMT($F$4,$D$4,-$B$4)))</f>
        <v>1548.033455850172</v>
      </c>
      <c r="F201" s="10">
        <f>IF(A201="","",MAX(0,B201-D201))</f>
        <v>121123.10560958697</v>
      </c>
    </row>
    <row r="202">
      <c r="A202" s="19">
        <f>IF(196&lt;=$D$4,196,"")</f>
        <v>196</v>
      </c>
      <c r="B202" s="10">
        <f>IF(A202="","",F201)</f>
        <v>121123.10560958697</v>
      </c>
      <c r="C202" s="10">
        <f>IF(A202="","",B202*$F$4)</f>
        <v>1271.7926089006633</v>
      </c>
      <c r="D202" s="10">
        <f>IF(A202="","",E202-C202)</f>
        <v>276.24084694950875</v>
      </c>
      <c r="E202" s="10">
        <f>IF(A202="","",IF($E$3="SAC",$B$4/$D$4+C202,PMT($F$4,$D$4,-$B$4)))</f>
        <v>1548.033455850172</v>
      </c>
      <c r="F202" s="10">
        <f>IF(A202="","",MAX(0,B202-D202))</f>
        <v>120846.86476263746</v>
      </c>
    </row>
    <row r="203">
      <c r="A203" s="19">
        <f>IF(197&lt;=$D$4,197,"")</f>
        <v>197</v>
      </c>
      <c r="B203" s="10">
        <f>IF(A203="","",F202)</f>
        <v>120846.86476263746</v>
      </c>
      <c r="C203" s="10">
        <f>IF(A203="","",B203*$F$4)</f>
        <v>1268.8920800076935</v>
      </c>
      <c r="D203" s="10">
        <f>IF(A203="","",E203-C203)</f>
        <v>279.1413758424785</v>
      </c>
      <c r="E203" s="10">
        <f>IF(A203="","",IF($E$3="SAC",$B$4/$D$4+C203,PMT($F$4,$D$4,-$B$4)))</f>
        <v>1548.033455850172</v>
      </c>
      <c r="F203" s="10">
        <f>IF(A203="","",MAX(0,B203-D203))</f>
        <v>120567.72338679498</v>
      </c>
    </row>
    <row r="204">
      <c r="A204" s="19">
        <f>IF(198&lt;=$D$4,198,"")</f>
        <v>198</v>
      </c>
      <c r="B204" s="10">
        <f>IF(A204="","",F203)</f>
        <v>120567.72338679498</v>
      </c>
      <c r="C204" s="10">
        <f>IF(A204="","",B204*$F$4)</f>
        <v>1265.9610955613473</v>
      </c>
      <c r="D204" s="10">
        <f>IF(A204="","",E204-C204)</f>
        <v>282.0723602888247</v>
      </c>
      <c r="E204" s="10">
        <f>IF(A204="","",IF($E$3="SAC",$B$4/$D$4+C204,PMT($F$4,$D$4,-$B$4)))</f>
        <v>1548.033455850172</v>
      </c>
      <c r="F204" s="10">
        <f>IF(A204="","",MAX(0,B204-D204))</f>
        <v>120285.65102650615</v>
      </c>
    </row>
    <row r="205">
      <c r="A205" s="19">
        <f>IF(199&lt;=$D$4,199,"")</f>
        <v>199</v>
      </c>
      <c r="B205" s="10">
        <f>IF(A205="","",F204)</f>
        <v>120285.65102650615</v>
      </c>
      <c r="C205" s="10">
        <f>IF(A205="","",B205*$F$4)</f>
        <v>1262.9993357783146</v>
      </c>
      <c r="D205" s="10">
        <f>IF(A205="","",E205-C205)</f>
        <v>285.0341200718574</v>
      </c>
      <c r="E205" s="10">
        <f>IF(A205="","",IF($E$3="SAC",$B$4/$D$4+C205,PMT($F$4,$D$4,-$B$4)))</f>
        <v>1548.033455850172</v>
      </c>
      <c r="F205" s="10">
        <f>IF(A205="","",MAX(0,B205-D205))</f>
        <v>120000.6169064343</v>
      </c>
    </row>
    <row r="206">
      <c r="A206" s="19">
        <f>IF(200&lt;=$D$4,200,"")</f>
        <v>200</v>
      </c>
      <c r="B206" s="10">
        <f>IF(A206="","",F205)</f>
        <v>120000.6169064343</v>
      </c>
      <c r="C206" s="10">
        <f>IF(A206="","",B206*$F$4)</f>
        <v>1260.0064775175601</v>
      </c>
      <c r="D206" s="10">
        <f>IF(A206="","",E206-C206)</f>
        <v>288.02697833261186</v>
      </c>
      <c r="E206" s="10">
        <f>IF(A206="","",IF($E$3="SAC",$B$4/$D$4+C206,PMT($F$4,$D$4,-$B$4)))</f>
        <v>1548.033455850172</v>
      </c>
      <c r="F206" s="10">
        <f>IF(A206="","",MAX(0,B206-D206))</f>
        <v>119712.58992810169</v>
      </c>
    </row>
    <row r="207">
      <c r="A207" s="19">
        <f>IF(201&lt;=$D$4,201,"")</f>
        <v>201</v>
      </c>
      <c r="B207" s="10">
        <f>IF(A207="","",F206)</f>
        <v>119712.58992810169</v>
      </c>
      <c r="C207" s="10">
        <f>IF(A207="","",B207*$F$4)</f>
        <v>1256.9821942450678</v>
      </c>
      <c r="D207" s="10">
        <f>IF(A207="","",E207-C207)</f>
        <v>291.0512616051042</v>
      </c>
      <c r="E207" s="10">
        <f>IF(A207="","",IF($E$3="SAC",$B$4/$D$4+C207,PMT($F$4,$D$4,-$B$4)))</f>
        <v>1548.033455850172</v>
      </c>
      <c r="F207" s="10">
        <f>IF(A207="","",MAX(0,B207-D207))</f>
        <v>119421.53866649659</v>
      </c>
    </row>
    <row r="208">
      <c r="A208" s="19">
        <f>IF(202&lt;=$D$4,202,"")</f>
        <v>202</v>
      </c>
      <c r="B208" s="10">
        <f>IF(A208="","",F207)</f>
        <v>119421.53866649659</v>
      </c>
      <c r="C208" s="10">
        <f>IF(A208="","",B208*$F$4)</f>
        <v>1253.9261559982142</v>
      </c>
      <c r="D208" s="10">
        <f>IF(A208="","",E208-C208)</f>
        <v>294.1072998519578</v>
      </c>
      <c r="E208" s="10">
        <f>IF(A208="","",IF($E$3="SAC",$B$4/$D$4+C208,PMT($F$4,$D$4,-$B$4)))</f>
        <v>1548.033455850172</v>
      </c>
      <c r="F208" s="10">
        <f>IF(A208="","",MAX(0,B208-D208))</f>
        <v>119127.43136664464</v>
      </c>
    </row>
    <row r="209">
      <c r="A209" s="19">
        <f>IF(203&lt;=$D$4,203,"")</f>
        <v>203</v>
      </c>
      <c r="B209" s="10">
        <f>IF(A209="","",F208)</f>
        <v>119127.43136664464</v>
      </c>
      <c r="C209" s="10">
        <f>IF(A209="","",B209*$F$4)</f>
        <v>1250.8380293497687</v>
      </c>
      <c r="D209" s="10">
        <f>IF(A209="","",E209-C209)</f>
        <v>297.1954265004033</v>
      </c>
      <c r="E209" s="10">
        <f>IF(A209="","",IF($E$3="SAC",$B$4/$D$4+C209,PMT($F$4,$D$4,-$B$4)))</f>
        <v>1548.033455850172</v>
      </c>
      <c r="F209" s="10">
        <f>IF(A209="","",MAX(0,B209-D209))</f>
        <v>118830.23594014424</v>
      </c>
    </row>
    <row r="210">
      <c r="A210" s="19">
        <f>IF(204&lt;=$D$4,204,"")</f>
        <v>204</v>
      </c>
      <c r="B210" s="10">
        <f>IF(A210="","",F209)</f>
        <v>118830.23594014424</v>
      </c>
      <c r="C210" s="10">
        <f>IF(A210="","",B210*$F$4)</f>
        <v>1247.7174773715146</v>
      </c>
      <c r="D210" s="10">
        <f>IF(A210="","",E210-C210)</f>
        <v>300.31597847865737</v>
      </c>
      <c r="E210" s="10">
        <f>IF(A210="","",IF($E$3="SAC",$B$4/$D$4+C210,PMT($F$4,$D$4,-$B$4)))</f>
        <v>1548.033455850172</v>
      </c>
      <c r="F210" s="10">
        <f>IF(A210="","",MAX(0,B210-D210))</f>
        <v>118529.91996166558</v>
      </c>
    </row>
    <row r="211">
      <c r="A211" s="19">
        <f>IF(205&lt;=$D$4,205,"")</f>
        <v>205</v>
      </c>
      <c r="B211" s="10">
        <f>IF(A211="","",F210)</f>
        <v>118529.91996166558</v>
      </c>
      <c r="C211" s="10">
        <f>IF(A211="","",B211*$F$4)</f>
        <v>1244.5641595974887</v>
      </c>
      <c r="D211" s="10">
        <f>IF(A211="","",E211-C211)</f>
        <v>303.4692962526833</v>
      </c>
      <c r="E211" s="10">
        <f>IF(A211="","",IF($E$3="SAC",$B$4/$D$4+C211,PMT($F$4,$D$4,-$B$4)))</f>
        <v>1548.033455850172</v>
      </c>
      <c r="F211" s="10">
        <f>IF(A211="","",MAX(0,B211-D211))</f>
        <v>118226.45066541289</v>
      </c>
    </row>
    <row r="212">
      <c r="A212" s="19">
        <f>IF(206&lt;=$D$4,206,"")</f>
        <v>206</v>
      </c>
      <c r="B212" s="10">
        <f>IF(A212="","",F211)</f>
        <v>118226.45066541289</v>
      </c>
      <c r="C212" s="10">
        <f>IF(A212="","",B212*$F$4)</f>
        <v>1241.3777319868354</v>
      </c>
      <c r="D212" s="10">
        <f>IF(A212="","",E212-C212)</f>
        <v>306.65572386333656</v>
      </c>
      <c r="E212" s="10">
        <f>IF(A212="","",IF($E$3="SAC",$B$4/$D$4+C212,PMT($F$4,$D$4,-$B$4)))</f>
        <v>1548.033455850172</v>
      </c>
      <c r="F212" s="10">
        <f>IF(A212="","",MAX(0,B212-D212))</f>
        <v>117919.79494154955</v>
      </c>
    </row>
    <row r="213">
      <c r="A213" s="19">
        <f>IF(207&lt;=$D$4,207,"")</f>
        <v>207</v>
      </c>
      <c r="B213" s="10">
        <f>IF(A213="","",F212)</f>
        <v>117919.79494154955</v>
      </c>
      <c r="C213" s="10">
        <f>IF(A213="","",B213*$F$4)</f>
        <v>1238.1578468862704</v>
      </c>
      <c r="D213" s="10">
        <f>IF(A213="","",E213-C213)</f>
        <v>309.87560896390164</v>
      </c>
      <c r="E213" s="10">
        <f>IF(A213="","",IF($E$3="SAC",$B$4/$D$4+C213,PMT($F$4,$D$4,-$B$4)))</f>
        <v>1548.033455850172</v>
      </c>
      <c r="F213" s="10">
        <f>IF(A213="","",MAX(0,B213-D213))</f>
        <v>117609.91933258565</v>
      </c>
    </row>
    <row r="214">
      <c r="A214" s="19">
        <f>IF(208&lt;=$D$4,208,"")</f>
        <v>208</v>
      </c>
      <c r="B214" s="10">
        <f>IF(A214="","",F213)</f>
        <v>117609.91933258565</v>
      </c>
      <c r="C214" s="10">
        <f>IF(A214="","",B214*$F$4)</f>
        <v>1234.9041529921494</v>
      </c>
      <c r="D214" s="10">
        <f>IF(A214="","",E214-C214)</f>
        <v>313.1293028580226</v>
      </c>
      <c r="E214" s="10">
        <f>IF(A214="","",IF($E$3="SAC",$B$4/$D$4+C214,PMT($F$4,$D$4,-$B$4)))</f>
        <v>1548.033455850172</v>
      </c>
      <c r="F214" s="10">
        <f>IF(A214="","",MAX(0,B214-D214))</f>
        <v>117296.79002972762</v>
      </c>
    </row>
    <row r="215">
      <c r="A215" s="19">
        <f>IF(209&lt;=$D$4,209,"")</f>
        <v>209</v>
      </c>
      <c r="B215" s="10">
        <f>IF(A215="","",F214)</f>
        <v>117296.79002972762</v>
      </c>
      <c r="C215" s="10">
        <f>IF(A215="","",B215*$F$4)</f>
        <v>1231.6162953121402</v>
      </c>
      <c r="D215" s="10">
        <f>IF(A215="","",E215-C215)</f>
        <v>316.4171605380318</v>
      </c>
      <c r="E215" s="10">
        <f>IF(A215="","",IF($E$3="SAC",$B$4/$D$4+C215,PMT($F$4,$D$4,-$B$4)))</f>
        <v>1548.033455850172</v>
      </c>
      <c r="F215" s="10">
        <f>IF(A215="","",MAX(0,B215-D215))</f>
        <v>116980.3728691896</v>
      </c>
    </row>
    <row r="216">
      <c r="A216" s="19">
        <f>IF(210&lt;=$D$4,210,"")</f>
        <v>210</v>
      </c>
      <c r="B216" s="10">
        <f>IF(A216="","",F215)</f>
        <v>116980.3728691896</v>
      </c>
      <c r="C216" s="10">
        <f>IF(A216="","",B216*$F$4)</f>
        <v>1228.293915126491</v>
      </c>
      <c r="D216" s="10">
        <f>IF(A216="","",E216-C216)</f>
        <v>319.7395407236811</v>
      </c>
      <c r="E216" s="10">
        <f>IF(A216="","",IF($E$3="SAC",$B$4/$D$4+C216,PMT($F$4,$D$4,-$B$4)))</f>
        <v>1548.033455850172</v>
      </c>
      <c r="F216" s="10">
        <f>IF(A216="","",MAX(0,B216-D216))</f>
        <v>116660.63332846592</v>
      </c>
    </row>
    <row r="217">
      <c r="A217" s="19">
        <f>IF(211&lt;=$D$4,211,"")</f>
        <v>211</v>
      </c>
      <c r="B217" s="10">
        <f>IF(A217="","",F216)</f>
        <v>116660.63332846592</v>
      </c>
      <c r="C217" s="10">
        <f>IF(A217="","",B217*$F$4)</f>
        <v>1224.9366499488922</v>
      </c>
      <c r="D217" s="10">
        <f>IF(A217="","",E217-C217)</f>
        <v>323.0968059012798</v>
      </c>
      <c r="E217" s="10">
        <f>IF(A217="","",IF($E$3="SAC",$B$4/$D$4+C217,PMT($F$4,$D$4,-$B$4)))</f>
        <v>1548.033455850172</v>
      </c>
      <c r="F217" s="10">
        <f>IF(A217="","",MAX(0,B217-D217))</f>
        <v>116337.53652256464</v>
      </c>
    </row>
    <row r="218">
      <c r="A218" s="19">
        <f>IF(212&lt;=$D$4,212,"")</f>
        <v>212</v>
      </c>
      <c r="B218" s="10">
        <f>IF(A218="","",F217)</f>
        <v>116337.53652256464</v>
      </c>
      <c r="C218" s="10">
        <f>IF(A218="","",B218*$F$4)</f>
        <v>1221.5441334869288</v>
      </c>
      <c r="D218" s="10">
        <f>IF(A218="","",E218-C218)</f>
        <v>326.4893223632432</v>
      </c>
      <c r="E218" s="10">
        <f>IF(A218="","",IF($E$3="SAC",$B$4/$D$4+C218,PMT($F$4,$D$4,-$B$4)))</f>
        <v>1548.033455850172</v>
      </c>
      <c r="F218" s="10">
        <f>IF(A218="","",MAX(0,B218-D218))</f>
        <v>116011.0472002014</v>
      </c>
    </row>
    <row r="219">
      <c r="A219" s="19">
        <f>IF(213&lt;=$D$4,213,"")</f>
        <v>213</v>
      </c>
      <c r="B219" s="10">
        <f>IF(A219="","",F218)</f>
        <v>116011.0472002014</v>
      </c>
      <c r="C219" s="10">
        <f>IF(A219="","",B219*$F$4)</f>
        <v>1218.1159956021147</v>
      </c>
      <c r="D219" s="10">
        <f>IF(A219="","",E219-C219)</f>
        <v>329.9174602480573</v>
      </c>
      <c r="E219" s="10">
        <f>IF(A219="","",IF($E$3="SAC",$B$4/$D$4+C219,PMT($F$4,$D$4,-$B$4)))</f>
        <v>1548.033455850172</v>
      </c>
      <c r="F219" s="10">
        <f>IF(A219="","",MAX(0,B219-D219))</f>
        <v>115681.12973995334</v>
      </c>
    </row>
    <row r="220">
      <c r="A220" s="19">
        <f>IF(214&lt;=$D$4,214,"")</f>
        <v>214</v>
      </c>
      <c r="B220" s="10">
        <f>IF(A220="","",F219)</f>
        <v>115681.12973995334</v>
      </c>
      <c r="C220" s="10">
        <f>IF(A220="","",B220*$F$4)</f>
        <v>1214.65186226951</v>
      </c>
      <c r="D220" s="10">
        <f>IF(A220="","",E220-C220)</f>
        <v>333.38159358066196</v>
      </c>
      <c r="E220" s="10">
        <f>IF(A220="","",IF($E$3="SAC",$B$4/$D$4+C220,PMT($F$4,$D$4,-$B$4)))</f>
        <v>1548.033455850172</v>
      </c>
      <c r="F220" s="10">
        <f>IF(A220="","",MAX(0,B220-D220))</f>
        <v>115347.74814637267</v>
      </c>
    </row>
    <row r="221">
      <c r="A221" s="19">
        <f>IF(215&lt;=$D$4,215,"")</f>
        <v>215</v>
      </c>
      <c r="B221" s="10">
        <f>IF(A221="","",F220)</f>
        <v>115347.74814637267</v>
      </c>
      <c r="C221" s="10">
        <f>IF(A221="","",B221*$F$4)</f>
        <v>1211.1513555369131</v>
      </c>
      <c r="D221" s="10">
        <f>IF(A221="","",E221-C221)</f>
        <v>336.8821003132589</v>
      </c>
      <c r="E221" s="10">
        <f>IF(A221="","",IF($E$3="SAC",$B$4/$D$4+C221,PMT($F$4,$D$4,-$B$4)))</f>
        <v>1548.033455850172</v>
      </c>
      <c r="F221" s="10">
        <f>IF(A221="","",MAX(0,B221-D221))</f>
        <v>115010.86604605941</v>
      </c>
    </row>
    <row r="222">
      <c r="A222" s="19">
        <f>IF(216&lt;=$D$4,216,"")</f>
        <v>216</v>
      </c>
      <c r="B222" s="10">
        <f>IF(A222="","",F221)</f>
        <v>115010.86604605941</v>
      </c>
      <c r="C222" s="10">
        <f>IF(A222="","",B222*$F$4)</f>
        <v>1207.614093483624</v>
      </c>
      <c r="D222" s="10">
        <f>IF(A222="","",E222-C222)</f>
        <v>340.41936236654806</v>
      </c>
      <c r="E222" s="10">
        <f>IF(A222="","",IF($E$3="SAC",$B$4/$D$4+C222,PMT($F$4,$D$4,-$B$4)))</f>
        <v>1548.033455850172</v>
      </c>
      <c r="F222" s="10">
        <f>IF(A222="","",MAX(0,B222-D222))</f>
        <v>114670.44668369286</v>
      </c>
    </row>
    <row r="223">
      <c r="A223" s="19">
        <f>IF(217&lt;=$D$4,217,"")</f>
        <v>217</v>
      </c>
      <c r="B223" s="10">
        <f>IF(A223="","",F222)</f>
        <v>114670.44668369286</v>
      </c>
      <c r="C223" s="10">
        <f>IF(A223="","",B223*$F$4)</f>
        <v>1204.0396901787751</v>
      </c>
      <c r="D223" s="10">
        <f>IF(A223="","",E223-C223)</f>
        <v>343.9937656713969</v>
      </c>
      <c r="E223" s="10">
        <f>IF(A223="","",IF($E$3="SAC",$B$4/$D$4+C223,PMT($F$4,$D$4,-$B$4)))</f>
        <v>1548.033455850172</v>
      </c>
      <c r="F223" s="10">
        <f>IF(A223="","",MAX(0,B223-D223))</f>
        <v>114326.45291802146</v>
      </c>
    </row>
    <row r="224">
      <c r="A224" s="19">
        <f>IF(218&lt;=$D$4,218,"")</f>
        <v>218</v>
      </c>
      <c r="B224" s="10">
        <f>IF(A224="","",F223)</f>
        <v>114326.45291802146</v>
      </c>
      <c r="C224" s="10">
        <f>IF(A224="","",B224*$F$4)</f>
        <v>1200.4277556392253</v>
      </c>
      <c r="D224" s="10">
        <f>IF(A224="","",E224-C224)</f>
        <v>347.6057002109467</v>
      </c>
      <c r="E224" s="10">
        <f>IF(A224="","",IF($E$3="SAC",$B$4/$D$4+C224,PMT($F$4,$D$4,-$B$4)))</f>
        <v>1548.033455850172</v>
      </c>
      <c r="F224" s="10">
        <f>IF(A224="","",MAX(0,B224-D224))</f>
        <v>113978.84721781051</v>
      </c>
    </row>
    <row r="225">
      <c r="A225" s="19">
        <f>IF(219&lt;=$D$4,219,"")</f>
        <v>219</v>
      </c>
      <c r="B225" s="10">
        <f>IF(A225="","",F224)</f>
        <v>113978.84721781051</v>
      </c>
      <c r="C225" s="10">
        <f>IF(A225="","",B225*$F$4)</f>
        <v>1196.7778957870105</v>
      </c>
      <c r="D225" s="10">
        <f>IF(A225="","",E225-C225)</f>
        <v>351.2555600631615</v>
      </c>
      <c r="E225" s="10">
        <f>IF(A225="","",IF($E$3="SAC",$B$4/$D$4+C225,PMT($F$4,$D$4,-$B$4)))</f>
        <v>1548.033455850172</v>
      </c>
      <c r="F225" s="10">
        <f>IF(A225="","",MAX(0,B225-D225))</f>
        <v>113627.59165774735</v>
      </c>
    </row>
    <row r="226">
      <c r="A226" s="19">
        <f>IF(220&lt;=$D$4,220,"")</f>
        <v>220</v>
      </c>
      <c r="B226" s="10">
        <f>IF(A226="","",F225)</f>
        <v>113627.59165774735</v>
      </c>
      <c r="C226" s="10">
        <f>IF(A226="","",B226*$F$4)</f>
        <v>1193.0897124063472</v>
      </c>
      <c r="D226" s="10">
        <f>IF(A226="","",E226-C226)</f>
        <v>354.9437434438248</v>
      </c>
      <c r="E226" s="10">
        <f>IF(A226="","",IF($E$3="SAC",$B$4/$D$4+C226,PMT($F$4,$D$4,-$B$4)))</f>
        <v>1548.033455850172</v>
      </c>
      <c r="F226" s="10">
        <f>IF(A226="","",MAX(0,B226-D226))</f>
        <v>113272.64791430352</v>
      </c>
    </row>
    <row r="227">
      <c r="A227" s="19">
        <f>IF(221&lt;=$D$4,221,"")</f>
        <v>221</v>
      </c>
      <c r="B227" s="10">
        <f>IF(A227="","",F226)</f>
        <v>113272.64791430352</v>
      </c>
      <c r="C227" s="10">
        <f>IF(A227="","",B227*$F$4)</f>
        <v>1189.3628031001872</v>
      </c>
      <c r="D227" s="10">
        <f>IF(A227="","",E227-C227)</f>
        <v>358.6706527499848</v>
      </c>
      <c r="E227" s="10">
        <f>IF(A227="","",IF($E$3="SAC",$B$4/$D$4+C227,PMT($F$4,$D$4,-$B$4)))</f>
        <v>1548.033455850172</v>
      </c>
      <c r="F227" s="10">
        <f>IF(A227="","",MAX(0,B227-D227))</f>
        <v>112913.97726155353</v>
      </c>
    </row>
    <row r="228">
      <c r="A228" s="19">
        <f>IF(222&lt;=$D$4,222,"")</f>
        <v>222</v>
      </c>
      <c r="B228" s="10">
        <f>IF(A228="","",F227)</f>
        <v>112913.97726155353</v>
      </c>
      <c r="C228" s="10">
        <f>IF(A228="","",B228*$F$4)</f>
        <v>1185.596761246312</v>
      </c>
      <c r="D228" s="10">
        <f>IF(A228="","",E228-C228)</f>
        <v>362.4366946038599</v>
      </c>
      <c r="E228" s="10">
        <f>IF(A228="","",IF($E$3="SAC",$B$4/$D$4+C228,PMT($F$4,$D$4,-$B$4)))</f>
        <v>1548.033455850172</v>
      </c>
      <c r="F228" s="10">
        <f>IF(A228="","",MAX(0,B228-D228))</f>
        <v>112551.54056694967</v>
      </c>
    </row>
    <row r="229">
      <c r="A229" s="19">
        <f>IF(223&lt;=$D$4,223,"")</f>
        <v>223</v>
      </c>
      <c r="B229" s="10">
        <f>IF(A229="","",F228)</f>
        <v>112551.54056694967</v>
      </c>
      <c r="C229" s="10">
        <f>IF(A229="","",B229*$F$4)</f>
        <v>1181.7911759529716</v>
      </c>
      <c r="D229" s="10">
        <f>IF(A229="","",E229-C229)</f>
        <v>366.24227989720043</v>
      </c>
      <c r="E229" s="10">
        <f>IF(A229="","",IF($E$3="SAC",$B$4/$D$4+C229,PMT($F$4,$D$4,-$B$4)))</f>
        <v>1548.033455850172</v>
      </c>
      <c r="F229" s="10">
        <f>IF(A229="","",MAX(0,B229-D229))</f>
        <v>112185.29828705247</v>
      </c>
    </row>
    <row r="230">
      <c r="A230" s="19">
        <f>IF(224&lt;=$D$4,224,"")</f>
        <v>224</v>
      </c>
      <c r="B230" s="10">
        <f>IF(A230="","",F229)</f>
        <v>112185.29828705247</v>
      </c>
      <c r="C230" s="10">
        <f>IF(A230="","",B230*$F$4)</f>
        <v>1177.945632014051</v>
      </c>
      <c r="D230" s="10">
        <f>IF(A230="","",E230-C230)</f>
        <v>370.08782383612106</v>
      </c>
      <c r="E230" s="10">
        <f>IF(A230="","",IF($E$3="SAC",$B$4/$D$4+C230,PMT($F$4,$D$4,-$B$4)))</f>
        <v>1548.033455850172</v>
      </c>
      <c r="F230" s="10">
        <f>IF(A230="","",MAX(0,B230-D230))</f>
        <v>111815.21046321635</v>
      </c>
    </row>
    <row r="231">
      <c r="A231" s="19">
        <f>IF(225&lt;=$D$4,225,"")</f>
        <v>225</v>
      </c>
      <c r="B231" s="10">
        <f>IF(A231="","",F230)</f>
        <v>111815.21046321635</v>
      </c>
      <c r="C231" s="10">
        <f>IF(A231="","",B231*$F$4)</f>
        <v>1174.0597098637718</v>
      </c>
      <c r="D231" s="10">
        <f>IF(A231="","",E231-C231)</f>
        <v>373.9737459864002</v>
      </c>
      <c r="E231" s="10">
        <f>IF(A231="","",IF($E$3="SAC",$B$4/$D$4+C231,PMT($F$4,$D$4,-$B$4)))</f>
        <v>1548.033455850172</v>
      </c>
      <c r="F231" s="10">
        <f>IF(A231="","",MAX(0,B231-D231))</f>
        <v>111441.23671722996</v>
      </c>
    </row>
    <row r="232">
      <c r="A232" s="19">
        <f>IF(226&lt;=$D$4,226,"")</f>
        <v>226</v>
      </c>
      <c r="B232" s="10">
        <f>IF(A232="","",F231)</f>
        <v>111441.23671722996</v>
      </c>
      <c r="C232" s="10">
        <f>IF(A232="","",B232*$F$4)</f>
        <v>1170.1329855309145</v>
      </c>
      <c r="D232" s="10">
        <f>IF(A232="","",E232-C232)</f>
        <v>377.90047031925747</v>
      </c>
      <c r="E232" s="10">
        <f>IF(A232="","",IF($E$3="SAC",$B$4/$D$4+C232,PMT($F$4,$D$4,-$B$4)))</f>
        <v>1548.033455850172</v>
      </c>
      <c r="F232" s="10">
        <f>IF(A232="","",MAX(0,B232-D232))</f>
        <v>111063.3362469107</v>
      </c>
    </row>
    <row r="233">
      <c r="A233" s="19">
        <f>IF(227&lt;=$D$4,227,"")</f>
        <v>227</v>
      </c>
      <c r="B233" s="10">
        <f>IF(A233="","",F232)</f>
        <v>111063.3362469107</v>
      </c>
      <c r="C233" s="10">
        <f>IF(A233="","",B233*$F$4)</f>
        <v>1166.1650305925623</v>
      </c>
      <c r="D233" s="10">
        <f>IF(A233="","",E233-C233)</f>
        <v>381.8684252576097</v>
      </c>
      <c r="E233" s="10">
        <f>IF(A233="","",IF($E$3="SAC",$B$4/$D$4+C233,PMT($F$4,$D$4,-$B$4)))</f>
        <v>1548.033455850172</v>
      </c>
      <c r="F233" s="10">
        <f>IF(A233="","",MAX(0,B233-D233))</f>
        <v>110681.46782165309</v>
      </c>
    </row>
    <row r="234">
      <c r="A234" s="19">
        <f>IF(228&lt;=$D$4,228,"")</f>
        <v>228</v>
      </c>
      <c r="B234" s="10">
        <f>IF(A234="","",F233)</f>
        <v>110681.46782165309</v>
      </c>
      <c r="C234" s="10">
        <f>IF(A234="","",B234*$F$4)</f>
        <v>1162.1554121273575</v>
      </c>
      <c r="D234" s="10">
        <f>IF(A234="","",E234-C234)</f>
        <v>385.8780437228145</v>
      </c>
      <c r="E234" s="10">
        <f>IF(A234="","",IF($E$3="SAC",$B$4/$D$4+C234,PMT($F$4,$D$4,-$B$4)))</f>
        <v>1548.033455850172</v>
      </c>
      <c r="F234" s="10">
        <f>IF(A234="","",MAX(0,B234-D234))</f>
        <v>110295.58977793028</v>
      </c>
    </row>
    <row r="235">
      <c r="A235" s="19">
        <f>IF(229&lt;=$D$4,229,"")</f>
        <v>229</v>
      </c>
      <c r="B235" s="10">
        <f>IF(A235="","",F234)</f>
        <v>110295.58977793028</v>
      </c>
      <c r="C235" s="10">
        <f>IF(A235="","",B235*$F$4)</f>
        <v>1158.103692668268</v>
      </c>
      <c r="D235" s="10">
        <f>IF(A235="","",E235-C235)</f>
        <v>389.92976318190404</v>
      </c>
      <c r="E235" s="10">
        <f>IF(A235="","",IF($E$3="SAC",$B$4/$D$4+C235,PMT($F$4,$D$4,-$B$4)))</f>
        <v>1548.033455850172</v>
      </c>
      <c r="F235" s="10">
        <f>IF(A235="","",MAX(0,B235-D235))</f>
        <v>109905.66001474837</v>
      </c>
    </row>
    <row r="236">
      <c r="A236" s="19">
        <f>IF(230&lt;=$D$4,230,"")</f>
        <v>230</v>
      </c>
      <c r="B236" s="10">
        <f>IF(A236="","",F235)</f>
        <v>109905.66001474837</v>
      </c>
      <c r="C236" s="10">
        <f>IF(A236="","",B236*$F$4)</f>
        <v>1154.009430154858</v>
      </c>
      <c r="D236" s="10">
        <f>IF(A236="","",E236-C236)</f>
        <v>394.0240256953141</v>
      </c>
      <c r="E236" s="10">
        <f>IF(A236="","",IF($E$3="SAC",$B$4/$D$4+C236,PMT($F$4,$D$4,-$B$4)))</f>
        <v>1548.033455850172</v>
      </c>
      <c r="F236" s="10">
        <f>IF(A236="","",MAX(0,B236-D236))</f>
        <v>109511.63598905306</v>
      </c>
    </row>
    <row r="237">
      <c r="A237" s="19">
        <f>IF(231&lt;=$D$4,231,"")</f>
        <v>231</v>
      </c>
      <c r="B237" s="10">
        <f>IF(A237="","",F236)</f>
        <v>109511.63598905306</v>
      </c>
      <c r="C237" s="10">
        <f>IF(A237="","",B237*$F$4)</f>
        <v>1149.8721778850572</v>
      </c>
      <c r="D237" s="10">
        <f>IF(A237="","",E237-C237)</f>
        <v>398.1612779651148</v>
      </c>
      <c r="E237" s="10">
        <f>IF(A237="","",IF($E$3="SAC",$B$4/$D$4+C237,PMT($F$4,$D$4,-$B$4)))</f>
        <v>1548.033455850172</v>
      </c>
      <c r="F237" s="10">
        <f>IF(A237="","",MAX(0,B237-D237))</f>
        <v>109113.47471108794</v>
      </c>
    </row>
    <row r="238">
      <c r="A238" s="19">
        <f>IF(232&lt;=$D$4,232,"")</f>
        <v>232</v>
      </c>
      <c r="B238" s="10">
        <f>IF(A238="","",F237)</f>
        <v>109113.47471108794</v>
      </c>
      <c r="C238" s="10">
        <f>IF(A238="","",B238*$F$4)</f>
        <v>1145.6914844664234</v>
      </c>
      <c r="D238" s="10">
        <f>IF(A238="","",E238-C238)</f>
        <v>402.3419713837486</v>
      </c>
      <c r="E238" s="10">
        <f>IF(A238="","",IF($E$3="SAC",$B$4/$D$4+C238,PMT($F$4,$D$4,-$B$4)))</f>
        <v>1548.033455850172</v>
      </c>
      <c r="F238" s="10">
        <f>IF(A238="","",MAX(0,B238-D238))</f>
        <v>108711.13273970419</v>
      </c>
    </row>
    <row r="239">
      <c r="A239" s="19">
        <f>IF(233&lt;=$D$4,233,"")</f>
        <v>233</v>
      </c>
      <c r="B239" s="10">
        <f>IF(A239="","",F238)</f>
        <v>108711.13273970419</v>
      </c>
      <c r="C239" s="10">
        <f>IF(A239="","",B239*$F$4)</f>
        <v>1141.4668937668941</v>
      </c>
      <c r="D239" s="10">
        <f>IF(A239="","",E239-C239)</f>
        <v>406.56656208327786</v>
      </c>
      <c r="E239" s="10">
        <f>IF(A239="","",IF($E$3="SAC",$B$4/$D$4+C239,PMT($F$4,$D$4,-$B$4)))</f>
        <v>1548.033455850172</v>
      </c>
      <c r="F239" s="10">
        <f>IF(A239="","",MAX(0,B239-D239))</f>
        <v>108304.56617762092</v>
      </c>
    </row>
    <row r="240">
      <c r="A240" s="19">
        <f>IF(234&lt;=$D$4,234,"")</f>
        <v>234</v>
      </c>
      <c r="B240" s="10">
        <f>IF(A240="","",F239)</f>
        <v>108304.56617762092</v>
      </c>
      <c r="C240" s="10">
        <f>IF(A240="","",B240*$F$4)</f>
        <v>1137.1979448650197</v>
      </c>
      <c r="D240" s="10">
        <f>IF(A240="","",E240-C240)</f>
        <v>410.83551098515227</v>
      </c>
      <c r="E240" s="10">
        <f>IF(A240="","",IF($E$3="SAC",$B$4/$D$4+C240,PMT($F$4,$D$4,-$B$4)))</f>
        <v>1548.033455850172</v>
      </c>
      <c r="F240" s="10">
        <f>IF(A240="","",MAX(0,B240-D240))</f>
        <v>107893.73066663576</v>
      </c>
    </row>
    <row r="241">
      <c r="A241" s="19">
        <f>IF(235&lt;=$D$4,235,"")</f>
        <v>235</v>
      </c>
      <c r="B241" s="10">
        <f>IF(A241="","",F240)</f>
        <v>107893.73066663576</v>
      </c>
      <c r="C241" s="10">
        <f>IF(A241="","",B241*$F$4)</f>
        <v>1132.8841719996756</v>
      </c>
      <c r="D241" s="10">
        <f>IF(A241="","",E241-C241)</f>
        <v>415.14928385049643</v>
      </c>
      <c r="E241" s="10">
        <f>IF(A241="","",IF($E$3="SAC",$B$4/$D$4+C241,PMT($F$4,$D$4,-$B$4)))</f>
        <v>1548.033455850172</v>
      </c>
      <c r="F241" s="10">
        <f>IF(A241="","",MAX(0,B241-D241))</f>
        <v>107478.58138278527</v>
      </c>
    </row>
    <row r="242">
      <c r="A242" s="19">
        <f>IF(236&lt;=$D$4,236,"")</f>
        <v>236</v>
      </c>
      <c r="B242" s="10">
        <f>IF(A242="","",F241)</f>
        <v>107478.58138278527</v>
      </c>
      <c r="C242" s="10">
        <f>IF(A242="","",B242*$F$4)</f>
        <v>1128.5251045192454</v>
      </c>
      <c r="D242" s="10">
        <f>IF(A242="","",E242-C242)</f>
        <v>419.50835133092664</v>
      </c>
      <c r="E242" s="10">
        <f>IF(A242="","",IF($E$3="SAC",$B$4/$D$4+C242,PMT($F$4,$D$4,-$B$4)))</f>
        <v>1548.033455850172</v>
      </c>
      <c r="F242" s="10">
        <f>IF(A242="","",MAX(0,B242-D242))</f>
        <v>107059.07303145435</v>
      </c>
    </row>
    <row r="243">
      <c r="A243" s="19">
        <f>IF(237&lt;=$D$4,237,"")</f>
        <v>237</v>
      </c>
      <c r="B243" s="10">
        <f>IF(A243="","",F242)</f>
        <v>107059.07303145435</v>
      </c>
      <c r="C243" s="10">
        <f>IF(A243="","",B243*$F$4)</f>
        <v>1124.1202668302708</v>
      </c>
      <c r="D243" s="10">
        <f>IF(A243="","",E243-C243)</f>
        <v>423.9131890199012</v>
      </c>
      <c r="E243" s="10">
        <f>IF(A243="","",IF($E$3="SAC",$B$4/$D$4+C243,PMT($F$4,$D$4,-$B$4)))</f>
        <v>1548.033455850172</v>
      </c>
      <c r="F243" s="10">
        <f>IF(A243="","",MAX(0,B243-D243))</f>
        <v>106635.15984243444</v>
      </c>
    </row>
    <row r="244">
      <c r="A244" s="19">
        <f>IF(238&lt;=$D$4,238,"")</f>
        <v>238</v>
      </c>
      <c r="B244" s="10">
        <f>IF(A244="","",F243)</f>
        <v>106635.15984243444</v>
      </c>
      <c r="C244" s="10">
        <f>IF(A244="","",B244*$F$4)</f>
        <v>1119.6691783455617</v>
      </c>
      <c r="D244" s="10">
        <f>IF(A244="","",E244-C244)</f>
        <v>428.3642775046103</v>
      </c>
      <c r="E244" s="10">
        <f>IF(A244="","",IF($E$3="SAC",$B$4/$D$4+C244,PMT($F$4,$D$4,-$B$4)))</f>
        <v>1548.033455850172</v>
      </c>
      <c r="F244" s="10">
        <f>IF(A244="","",MAX(0,B244-D244))</f>
        <v>106206.79556492982</v>
      </c>
    </row>
    <row r="245">
      <c r="A245" s="19">
        <f>IF(239&lt;=$D$4,239,"")</f>
        <v>239</v>
      </c>
      <c r="B245" s="10">
        <f>IF(A245="","",F244)</f>
        <v>106206.79556492982</v>
      </c>
      <c r="C245" s="10">
        <f>IF(A245="","",B245*$F$4)</f>
        <v>1115.1713534317632</v>
      </c>
      <c r="D245" s="10">
        <f>IF(A245="","",E245-C245)</f>
        <v>432.86210241840877</v>
      </c>
      <c r="E245" s="10">
        <f>IF(A245="","",IF($E$3="SAC",$B$4/$D$4+C245,PMT($F$4,$D$4,-$B$4)))</f>
        <v>1548.033455850172</v>
      </c>
      <c r="F245" s="10">
        <f>IF(A245="","",MAX(0,B245-D245))</f>
        <v>105773.93346251141</v>
      </c>
    </row>
    <row r="246">
      <c r="A246" s="19">
        <f>IF(240&lt;=$D$4,240,"")</f>
        <v>240</v>
      </c>
      <c r="B246" s="10">
        <f>IF(A246="","",F245)</f>
        <v>105773.93346251141</v>
      </c>
      <c r="C246" s="10">
        <f>IF(A246="","",B246*$F$4)</f>
        <v>1110.6263013563698</v>
      </c>
      <c r="D246" s="10">
        <f>IF(A246="","",E246-C246)</f>
        <v>437.4071544938022</v>
      </c>
      <c r="E246" s="10">
        <f>IF(A246="","",IF($E$3="SAC",$B$4/$D$4+C246,PMT($F$4,$D$4,-$B$4)))</f>
        <v>1548.033455850172</v>
      </c>
      <c r="F246" s="10">
        <f>IF(A246="","",MAX(0,B246-D246))</f>
        <v>105336.52630801761</v>
      </c>
    </row>
    <row r="247">
      <c r="A247" s="19">
        <f>IF(241&lt;=$D$4,241,"")</f>
        <v>241</v>
      </c>
      <c r="B247" s="10">
        <f>IF(A247="","",F246)</f>
        <v>105336.52630801761</v>
      </c>
      <c r="C247" s="10">
        <f>IF(A247="","",B247*$F$4)</f>
        <v>1106.033526234185</v>
      </c>
      <c r="D247" s="10">
        <f>IF(A247="","",E247-C247)</f>
        <v>441.99992961598696</v>
      </c>
      <c r="E247" s="10">
        <f>IF(A247="","",IF($E$3="SAC",$B$4/$D$4+C247,PMT($F$4,$D$4,-$B$4)))</f>
        <v>1548.033455850172</v>
      </c>
      <c r="F247" s="10">
        <f>IF(A247="","",MAX(0,B247-D247))</f>
        <v>104894.52637840163</v>
      </c>
    </row>
    <row r="248">
      <c r="A248" s="19">
        <f>IF(242&lt;=$D$4,242,"")</f>
        <v>242</v>
      </c>
      <c r="B248" s="10">
        <f>IF(A248="","",F247)</f>
        <v>104894.52637840163</v>
      </c>
      <c r="C248" s="10">
        <f>IF(A248="","",B248*$F$4)</f>
        <v>1101.3925269732172</v>
      </c>
      <c r="D248" s="10">
        <f>IF(A248="","",E248-C248)</f>
        <v>446.64092887695483</v>
      </c>
      <c r="E248" s="10">
        <f>IF(A248="","",IF($E$3="SAC",$B$4/$D$4+C248,PMT($F$4,$D$4,-$B$4)))</f>
        <v>1548.033455850172</v>
      </c>
      <c r="F248" s="10">
        <f>IF(A248="","",MAX(0,B248-D248))</f>
        <v>104447.88544952468</v>
      </c>
    </row>
    <row r="249">
      <c r="A249" s="19">
        <f>IF(243&lt;=$D$4,243,"")</f>
        <v>243</v>
      </c>
      <c r="B249" s="10">
        <f>IF(A249="","",F248)</f>
        <v>104447.88544952468</v>
      </c>
      <c r="C249" s="10">
        <f>IF(A249="","",B249*$F$4)</f>
        <v>1096.7027972200092</v>
      </c>
      <c r="D249" s="10">
        <f>IF(A249="","",E249-C249)</f>
        <v>451.3306586301628</v>
      </c>
      <c r="E249" s="10">
        <f>IF(A249="","",IF($E$3="SAC",$B$4/$D$4+C249,PMT($F$4,$D$4,-$B$4)))</f>
        <v>1548.033455850172</v>
      </c>
      <c r="F249" s="10">
        <f>IF(A249="","",MAX(0,B249-D249))</f>
        <v>103996.55479089452</v>
      </c>
    </row>
    <row r="250">
      <c r="A250" s="19">
        <f>IF(244&lt;=$D$4,244,"")</f>
        <v>244</v>
      </c>
      <c r="B250" s="10">
        <f>IF(A250="","",F249)</f>
        <v>103996.55479089452</v>
      </c>
      <c r="C250" s="10">
        <f>IF(A250="","",B250*$F$4)</f>
        <v>1091.9638253043925</v>
      </c>
      <c r="D250" s="10">
        <f>IF(A250="","",E250-C250)</f>
        <v>456.06963054577955</v>
      </c>
      <c r="E250" s="10">
        <f>IF(A250="","",IF($E$3="SAC",$B$4/$D$4+C250,PMT($F$4,$D$4,-$B$4)))</f>
        <v>1548.033455850172</v>
      </c>
      <c r="F250" s="10">
        <f>IF(A250="","",MAX(0,B250-D250))</f>
        <v>103540.48516034873</v>
      </c>
    </row>
    <row r="251">
      <c r="A251" s="19">
        <f>IF(245&lt;=$D$4,245,"")</f>
        <v>245</v>
      </c>
      <c r="B251" s="10">
        <f>IF(A251="","",F250)</f>
        <v>103540.48516034873</v>
      </c>
      <c r="C251" s="10">
        <f>IF(A251="","",B251*$F$4)</f>
        <v>1087.1750941836617</v>
      </c>
      <c r="D251" s="10">
        <f>IF(A251="","",E251-C251)</f>
        <v>460.8583616665103</v>
      </c>
      <c r="E251" s="10">
        <f>IF(A251="","",IF($E$3="SAC",$B$4/$D$4+C251,PMT($F$4,$D$4,-$B$4)))</f>
        <v>1548.033455850172</v>
      </c>
      <c r="F251" s="10">
        <f>IF(A251="","",MAX(0,B251-D251))</f>
        <v>103079.62679868222</v>
      </c>
    </row>
    <row r="252">
      <c r="A252" s="19">
        <f>IF(246&lt;=$D$4,246,"")</f>
        <v>246</v>
      </c>
      <c r="B252" s="10">
        <f>IF(A252="","",F251)</f>
        <v>103079.62679868222</v>
      </c>
      <c r="C252" s="10">
        <f>IF(A252="","",B252*$F$4)</f>
        <v>1082.3360813861634</v>
      </c>
      <c r="D252" s="10">
        <f>IF(A252="","",E252-C252)</f>
        <v>465.6973744640086</v>
      </c>
      <c r="E252" s="10">
        <f>IF(A252="","",IF($E$3="SAC",$B$4/$D$4+C252,PMT($F$4,$D$4,-$B$4)))</f>
        <v>1548.033455850172</v>
      </c>
      <c r="F252" s="10">
        <f>IF(A252="","",MAX(0,B252-D252))</f>
        <v>102613.92942421821</v>
      </c>
    </row>
    <row r="253">
      <c r="A253" s="19">
        <f>IF(247&lt;=$D$4,247,"")</f>
        <v>247</v>
      </c>
      <c r="B253" s="10">
        <f>IF(A253="","",F252)</f>
        <v>102613.92942421821</v>
      </c>
      <c r="C253" s="10">
        <f>IF(A253="","",B253*$F$4)</f>
        <v>1077.4462589542914</v>
      </c>
      <c r="D253" s="10">
        <f>IF(A253="","",E253-C253)</f>
        <v>470.58719689588065</v>
      </c>
      <c r="E253" s="10">
        <f>IF(A253="","",IF($E$3="SAC",$B$4/$D$4+C253,PMT($F$4,$D$4,-$B$4)))</f>
        <v>1548.033455850172</v>
      </c>
      <c r="F253" s="10">
        <f>IF(A253="","",MAX(0,B253-D253))</f>
        <v>102143.34222732233</v>
      </c>
    </row>
    <row r="254">
      <c r="A254" s="19">
        <f>IF(248&lt;=$D$4,248,"")</f>
        <v>248</v>
      </c>
      <c r="B254" s="10">
        <f>IF(A254="","",F253)</f>
        <v>102143.34222732233</v>
      </c>
      <c r="C254" s="10">
        <f>IF(A254="","",B254*$F$4)</f>
        <v>1072.5050933868845</v>
      </c>
      <c r="D254" s="10">
        <f>IF(A254="","",E254-C254)</f>
        <v>475.5283624632875</v>
      </c>
      <c r="E254" s="10">
        <f>IF(A254="","",IF($E$3="SAC",$B$4/$D$4+C254,PMT($F$4,$D$4,-$B$4)))</f>
        <v>1548.033455850172</v>
      </c>
      <c r="F254" s="10">
        <f>IF(A254="","",MAX(0,B254-D254))</f>
        <v>101667.81386485904</v>
      </c>
    </row>
    <row r="255">
      <c r="A255" s="19">
        <f>IF(249&lt;=$D$4,249,"")</f>
        <v>249</v>
      </c>
      <c r="B255" s="10">
        <f>IF(A255="","",F254)</f>
        <v>101667.81386485904</v>
      </c>
      <c r="C255" s="10">
        <f>IF(A255="","",B255*$F$4)</f>
        <v>1067.51204558102</v>
      </c>
      <c r="D255" s="10">
        <f>IF(A255="","",E255-C255)</f>
        <v>480.52141026915206</v>
      </c>
      <c r="E255" s="10">
        <f>IF(A255="","",IF($E$3="SAC",$B$4/$D$4+C255,PMT($F$4,$D$4,-$B$4)))</f>
        <v>1548.033455850172</v>
      </c>
      <c r="F255" s="10">
        <f>IF(A255="","",MAX(0,B255-D255))</f>
        <v>101187.29245458989</v>
      </c>
    </row>
    <row r="256">
      <c r="A256" s="19">
        <f>IF(250&lt;=$D$4,250,"")</f>
        <v>250</v>
      </c>
      <c r="B256" s="10">
        <f>IF(A256="","",F255)</f>
        <v>101187.29245458989</v>
      </c>
      <c r="C256" s="10">
        <f>IF(A256="","",B256*$F$4)</f>
        <v>1062.4665707731938</v>
      </c>
      <c r="D256" s="10">
        <f>IF(A256="","",E256-C256)</f>
        <v>485.5668850769782</v>
      </c>
      <c r="E256" s="10">
        <f>IF(A256="","",IF($E$3="SAC",$B$4/$D$4+C256,PMT($F$4,$D$4,-$B$4)))</f>
        <v>1548.033455850172</v>
      </c>
      <c r="F256" s="10">
        <f>IF(A256="","",MAX(0,B256-D256))</f>
        <v>100701.72556951291</v>
      </c>
    </row>
    <row r="257">
      <c r="A257" s="19">
        <f>IF(251&lt;=$D$4,251,"")</f>
        <v>251</v>
      </c>
      <c r="B257" s="10">
        <f>IF(A257="","",F256)</f>
        <v>100701.72556951291</v>
      </c>
      <c r="C257" s="10">
        <f>IF(A257="","",B257*$F$4)</f>
        <v>1057.3681184798857</v>
      </c>
      <c r="D257" s="10">
        <f>IF(A257="","",E257-C257)</f>
        <v>490.66533737028635</v>
      </c>
      <c r="E257" s="10">
        <f>IF(A257="","",IF($E$3="SAC",$B$4/$D$4+C257,PMT($F$4,$D$4,-$B$4)))</f>
        <v>1548.033455850172</v>
      </c>
      <c r="F257" s="10">
        <f>IF(A257="","",MAX(0,B257-D257))</f>
        <v>100211.06023214263</v>
      </c>
    </row>
    <row r="258">
      <c r="A258" s="19">
        <f>IF(252&lt;=$D$4,252,"")</f>
        <v>252</v>
      </c>
      <c r="B258" s="10">
        <f>IF(A258="","",F257)</f>
        <v>100211.06023214263</v>
      </c>
      <c r="C258" s="10">
        <f>IF(A258="","",B258*$F$4)</f>
        <v>1052.2161324374977</v>
      </c>
      <c r="D258" s="10">
        <f>IF(A258="","",E258-C258)</f>
        <v>495.81732341267434</v>
      </c>
      <c r="E258" s="10">
        <f>IF(A258="","",IF($E$3="SAC",$B$4/$D$4+C258,PMT($F$4,$D$4,-$B$4)))</f>
        <v>1548.033455850172</v>
      </c>
      <c r="F258" s="10">
        <f>IF(A258="","",MAX(0,B258-D258))</f>
        <v>99715.24290872995</v>
      </c>
    </row>
    <row r="259">
      <c r="A259" s="19">
        <f>IF(253&lt;=$D$4,253,"")</f>
        <v>253</v>
      </c>
      <c r="B259" s="10">
        <f>IF(A259="","",F258)</f>
        <v>99715.24290872995</v>
      </c>
      <c r="C259" s="10">
        <f>IF(A259="","",B259*$F$4)</f>
        <v>1047.0100505416647</v>
      </c>
      <c r="D259" s="10">
        <f>IF(A259="","",E259-C259)</f>
        <v>501.02340530850734</v>
      </c>
      <c r="E259" s="10">
        <f>IF(A259="","",IF($E$3="SAC",$B$4/$D$4+C259,PMT($F$4,$D$4,-$B$4)))</f>
        <v>1548.033455850172</v>
      </c>
      <c r="F259" s="10">
        <f>IF(A259="","",MAX(0,B259-D259))</f>
        <v>99214.21950342145</v>
      </c>
    </row>
    <row r="260">
      <c r="A260" s="19">
        <f>IF(254&lt;=$D$4,254,"")</f>
        <v>254</v>
      </c>
      <c r="B260" s="10">
        <f>IF(A260="","",F259)</f>
        <v>99214.21950342145</v>
      </c>
      <c r="C260" s="10">
        <f>IF(A260="","",B260*$F$4)</f>
        <v>1041.7493047859252</v>
      </c>
      <c r="D260" s="10">
        <f>IF(A260="","",E260-C260)</f>
        <v>506.28415106424677</v>
      </c>
      <c r="E260" s="10">
        <f>IF(A260="","",IF($E$3="SAC",$B$4/$D$4+C260,PMT($F$4,$D$4,-$B$4)))</f>
        <v>1548.033455850172</v>
      </c>
      <c r="F260" s="10">
        <f>IF(A260="","",MAX(0,B260-D260))</f>
        <v>98707.9353523572</v>
      </c>
    </row>
    <row r="261">
      <c r="A261" s="19">
        <f>IF(255&lt;=$D$4,255,"")</f>
        <v>255</v>
      </c>
      <c r="B261" s="10">
        <f>IF(A261="","",F260)</f>
        <v>98707.9353523572</v>
      </c>
      <c r="C261" s="10">
        <f>IF(A261="","",B261*$F$4)</f>
        <v>1036.4333211997507</v>
      </c>
      <c r="D261" s="10">
        <f>IF(A261="","",E261-C261)</f>
        <v>511.6001346504213</v>
      </c>
      <c r="E261" s="10">
        <f>IF(A261="","",IF($E$3="SAC",$B$4/$D$4+C261,PMT($F$4,$D$4,-$B$4)))</f>
        <v>1548.033455850172</v>
      </c>
      <c r="F261" s="10">
        <f>IF(A261="","",MAX(0,B261-D261))</f>
        <v>98196.33521770679</v>
      </c>
    </row>
    <row r="262">
      <c r="A262" s="19">
        <f>IF(256&lt;=$D$4,256,"")</f>
        <v>256</v>
      </c>
      <c r="B262" s="10">
        <f>IF(A262="","",F261)</f>
        <v>98196.33521770679</v>
      </c>
      <c r="C262" s="10">
        <f>IF(A262="","",B262*$F$4)</f>
        <v>1031.0615197859213</v>
      </c>
      <c r="D262" s="10">
        <f>IF(A262="","",E262-C262)</f>
        <v>516.9719360642507</v>
      </c>
      <c r="E262" s="10">
        <f>IF(A262="","",IF($E$3="SAC",$B$4/$D$4+C262,PMT($F$4,$D$4,-$B$4)))</f>
        <v>1548.033455850172</v>
      </c>
      <c r="F262" s="10">
        <f>IF(A262="","",MAX(0,B262-D262))</f>
        <v>97679.36328164254</v>
      </c>
    </row>
    <row r="263">
      <c r="A263" s="19">
        <f>IF(257&lt;=$D$4,257,"")</f>
        <v>257</v>
      </c>
      <c r="B263" s="10">
        <f>IF(A263="","",F262)</f>
        <v>97679.36328164254</v>
      </c>
      <c r="C263" s="10">
        <f>IF(A263="","",B263*$F$4)</f>
        <v>1025.6333144572468</v>
      </c>
      <c r="D263" s="10">
        <f>IF(A263="","",E263-C263)</f>
        <v>522.4001413929252</v>
      </c>
      <c r="E263" s="10">
        <f>IF(A263="","",IF($E$3="SAC",$B$4/$D$4+C263,PMT($F$4,$D$4,-$B$4)))</f>
        <v>1548.033455850172</v>
      </c>
      <c r="F263" s="10">
        <f>IF(A263="","",MAX(0,B263-D263))</f>
        <v>97156.96314024962</v>
      </c>
    </row>
    <row r="264">
      <c r="A264" s="19">
        <f>IF(258&lt;=$D$4,258,"")</f>
        <v>258</v>
      </c>
      <c r="B264" s="10">
        <f>IF(A264="","",F263)</f>
        <v>97156.96314024962</v>
      </c>
      <c r="C264" s="10">
        <f>IF(A264="","",B264*$F$4)</f>
        <v>1020.148112972621</v>
      </c>
      <c r="D264" s="10">
        <f>IF(A264="","",E264-C264)</f>
        <v>527.885342877551</v>
      </c>
      <c r="E264" s="10">
        <f>IF(A264="","",IF($E$3="SAC",$B$4/$D$4+C264,PMT($F$4,$D$4,-$B$4)))</f>
        <v>1548.033455850172</v>
      </c>
      <c r="F264" s="10">
        <f>IF(A264="","",MAX(0,B264-D264))</f>
        <v>96629.07779737207</v>
      </c>
    </row>
    <row r="265">
      <c r="A265" s="19">
        <f>IF(259&lt;=$D$4,259,"")</f>
        <v>259</v>
      </c>
      <c r="B265" s="10">
        <f>IF(A265="","",F264)</f>
        <v>96629.07779737207</v>
      </c>
      <c r="C265" s="10">
        <f>IF(A265="","",B265*$F$4)</f>
        <v>1014.6053168724068</v>
      </c>
      <c r="D265" s="10">
        <f>IF(A265="","",E265-C265)</f>
        <v>533.4281389777652</v>
      </c>
      <c r="E265" s="10">
        <f>IF(A265="","",IF($E$3="SAC",$B$4/$D$4+C265,PMT($F$4,$D$4,-$B$4)))</f>
        <v>1548.033455850172</v>
      </c>
      <c r="F265" s="10">
        <f>IF(A265="","",MAX(0,B265-D265))</f>
        <v>96095.64965839431</v>
      </c>
    </row>
    <row r="266">
      <c r="A266" s="19">
        <f>IF(260&lt;=$D$4,260,"")</f>
        <v>260</v>
      </c>
      <c r="B266" s="10">
        <f>IF(A266="","",F265)</f>
        <v>96095.64965839431</v>
      </c>
      <c r="C266" s="10">
        <f>IF(A266="","",B266*$F$4)</f>
        <v>1009.0043214131402</v>
      </c>
      <c r="D266" s="10">
        <f>IF(A266="","",E266-C266)</f>
        <v>539.0291344370318</v>
      </c>
      <c r="E266" s="10">
        <f>IF(A266="","",IF($E$3="SAC",$B$4/$D$4+C266,PMT($F$4,$D$4,-$B$4)))</f>
        <v>1548.033455850172</v>
      </c>
      <c r="F266" s="10">
        <f>IF(A266="","",MAX(0,B266-D266))</f>
        <v>95556.62052395727</v>
      </c>
    </row>
    <row r="267">
      <c r="A267" s="19">
        <f>IF(261&lt;=$D$4,261,"")</f>
        <v>261</v>
      </c>
      <c r="B267" s="10">
        <f>IF(A267="","",F266)</f>
        <v>95556.62052395727</v>
      </c>
      <c r="C267" s="10">
        <f>IF(A267="","",B267*$F$4)</f>
        <v>1003.3445155015514</v>
      </c>
      <c r="D267" s="10">
        <f>IF(A267="","",E267-C267)</f>
        <v>544.6889403486206</v>
      </c>
      <c r="E267" s="10">
        <f>IF(A267="","",IF($E$3="SAC",$B$4/$D$4+C267,PMT($F$4,$D$4,-$B$4)))</f>
        <v>1548.033455850172</v>
      </c>
      <c r="F267" s="10">
        <f>IF(A267="","",MAX(0,B267-D267))</f>
        <v>95011.93158360865</v>
      </c>
    </row>
    <row r="268">
      <c r="A268" s="19">
        <f>IF(262&lt;=$D$4,262,"")</f>
        <v>262</v>
      </c>
      <c r="B268" s="10">
        <f>IF(A268="","",F267)</f>
        <v>95011.93158360865</v>
      </c>
      <c r="C268" s="10">
        <f>IF(A268="","",B268*$F$4)</f>
        <v>997.6252816278909</v>
      </c>
      <c r="D268" s="10">
        <f>IF(A268="","",E268-C268)</f>
        <v>550.4081742222811</v>
      </c>
      <c r="E268" s="10">
        <f>IF(A268="","",IF($E$3="SAC",$B$4/$D$4+C268,PMT($F$4,$D$4,-$B$4)))</f>
        <v>1548.033455850172</v>
      </c>
      <c r="F268" s="10">
        <f>IF(A268="","",MAX(0,B268-D268))</f>
        <v>94461.52340938637</v>
      </c>
    </row>
    <row r="269">
      <c r="A269" s="19">
        <f>IF(263&lt;=$D$4,263,"")</f>
        <v>263</v>
      </c>
      <c r="B269" s="10">
        <f>IF(A269="","",F268)</f>
        <v>94461.52340938637</v>
      </c>
      <c r="C269" s="10">
        <f>IF(A269="","",B269*$F$4)</f>
        <v>991.8459957985569</v>
      </c>
      <c r="D269" s="10">
        <f>IF(A269="","",E269-C269)</f>
        <v>556.1874600516151</v>
      </c>
      <c r="E269" s="10">
        <f>IF(A269="","",IF($E$3="SAC",$B$4/$D$4+C269,PMT($F$4,$D$4,-$B$4)))</f>
        <v>1548.033455850172</v>
      </c>
      <c r="F269" s="10">
        <f>IF(A269="","",MAX(0,B269-D269))</f>
        <v>93905.33594933475</v>
      </c>
    </row>
    <row r="270">
      <c r="A270" s="19">
        <f>IF(264&lt;=$D$4,264,"")</f>
        <v>264</v>
      </c>
      <c r="B270" s="10">
        <f>IF(A270="","",F269)</f>
        <v>93905.33594933475</v>
      </c>
      <c r="C270" s="10">
        <f>IF(A270="","",B270*$F$4)</f>
        <v>986.006027468015</v>
      </c>
      <c r="D270" s="10">
        <f>IF(A270="","",E270-C270)</f>
        <v>562.027428382157</v>
      </c>
      <c r="E270" s="10">
        <f>IF(A270="","",IF($E$3="SAC",$B$4/$D$4+C270,PMT($F$4,$D$4,-$B$4)))</f>
        <v>1548.033455850172</v>
      </c>
      <c r="F270" s="10">
        <f>IF(A270="","",MAX(0,B270-D270))</f>
        <v>93343.30852095259</v>
      </c>
    </row>
    <row r="271">
      <c r="A271" s="19">
        <f>IF(265&lt;=$D$4,265,"")</f>
        <v>265</v>
      </c>
      <c r="B271" s="10">
        <f>IF(A271="","",F270)</f>
        <v>93343.30852095259</v>
      </c>
      <c r="C271" s="10">
        <f>IF(A271="","",B271*$F$4)</f>
        <v>980.1047394700023</v>
      </c>
      <c r="D271" s="10">
        <f>IF(A271="","",E271-C271)</f>
        <v>567.9287163801697</v>
      </c>
      <c r="E271" s="10">
        <f>IF(A271="","",IF($E$3="SAC",$B$4/$D$4+C271,PMT($F$4,$D$4,-$B$4)))</f>
        <v>1548.033455850172</v>
      </c>
      <c r="F271" s="10">
        <f>IF(A271="","",MAX(0,B271-D271))</f>
        <v>92775.37980457243</v>
      </c>
    </row>
    <row r="272">
      <c r="A272" s="19">
        <f>IF(266&lt;=$D$4,266,"")</f>
        <v>266</v>
      </c>
      <c r="B272" s="10">
        <f>IF(A272="","",F271)</f>
        <v>92775.37980457243</v>
      </c>
      <c r="C272" s="10">
        <f>IF(A272="","",B272*$F$4)</f>
        <v>974.1414879480105</v>
      </c>
      <c r="D272" s="10">
        <f>IF(A272="","",E272-C272)</f>
        <v>573.8919679021615</v>
      </c>
      <c r="E272" s="10">
        <f>IF(A272="","",IF($E$3="SAC",$B$4/$D$4+C272,PMT($F$4,$D$4,-$B$4)))</f>
        <v>1548.033455850172</v>
      </c>
      <c r="F272" s="10">
        <f>IF(A272="","",MAX(0,B272-D272))</f>
        <v>92201.48783667026</v>
      </c>
    </row>
    <row r="273">
      <c r="A273" s="19">
        <f>IF(267&lt;=$D$4,267,"")</f>
        <v>267</v>
      </c>
      <c r="B273" s="10">
        <f>IF(A273="","",F272)</f>
        <v>92201.48783667026</v>
      </c>
      <c r="C273" s="10">
        <f>IF(A273="","",B273*$F$4)</f>
        <v>968.1156222850378</v>
      </c>
      <c r="D273" s="10">
        <f>IF(A273="","",E273-C273)</f>
        <v>579.9178335651342</v>
      </c>
      <c r="E273" s="10">
        <f>IF(A273="","",IF($E$3="SAC",$B$4/$D$4+C273,PMT($F$4,$D$4,-$B$4)))</f>
        <v>1548.033455850172</v>
      </c>
      <c r="F273" s="10">
        <f>IF(A273="","",MAX(0,B273-D273))</f>
        <v>91621.57000310512</v>
      </c>
    </row>
    <row r="274">
      <c r="A274" s="19">
        <f>IF(268&lt;=$D$4,268,"")</f>
        <v>268</v>
      </c>
      <c r="B274" s="10">
        <f>IF(A274="","",F273)</f>
        <v>91621.57000310512</v>
      </c>
      <c r="C274" s="10">
        <f>IF(A274="","",B274*$F$4)</f>
        <v>962.0264850326039</v>
      </c>
      <c r="D274" s="10">
        <f>IF(A274="","",E274-C274)</f>
        <v>586.0069708175681</v>
      </c>
      <c r="E274" s="10">
        <f>IF(A274="","",IF($E$3="SAC",$B$4/$D$4+C274,PMT($F$4,$D$4,-$B$4)))</f>
        <v>1548.033455850172</v>
      </c>
      <c r="F274" s="10">
        <f>IF(A274="","",MAX(0,B274-D274))</f>
        <v>91035.56303228755</v>
      </c>
    </row>
    <row r="275">
      <c r="A275" s="19">
        <f>IF(269&lt;=$D$4,269,"")</f>
        <v>269</v>
      </c>
      <c r="B275" s="10">
        <f>IF(A275="","",F274)</f>
        <v>91035.56303228755</v>
      </c>
      <c r="C275" s="10">
        <f>IF(A275="","",B275*$F$4)</f>
        <v>955.8734118390194</v>
      </c>
      <c r="D275" s="10">
        <f>IF(A275="","",E275-C275)</f>
        <v>592.1600440111526</v>
      </c>
      <c r="E275" s="10">
        <f>IF(A275="","",IF($E$3="SAC",$B$4/$D$4+C275,PMT($F$4,$D$4,-$B$4)))</f>
        <v>1548.033455850172</v>
      </c>
      <c r="F275" s="10">
        <f>IF(A275="","",MAX(0,B275-D275))</f>
        <v>90443.4029882764</v>
      </c>
    </row>
    <row r="276">
      <c r="A276" s="19">
        <f>IF(270&lt;=$D$4,270,"")</f>
        <v>270</v>
      </c>
      <c r="B276" s="10">
        <f>IF(A276="","",F275)</f>
        <v>90443.4029882764</v>
      </c>
      <c r="C276" s="10">
        <f>IF(A276="","",B276*$F$4)</f>
        <v>949.6557313769023</v>
      </c>
      <c r="D276" s="10">
        <f>IF(A276="","",E276-C276)</f>
        <v>598.3777244732697</v>
      </c>
      <c r="E276" s="10">
        <f>IF(A276="","",IF($E$3="SAC",$B$4/$D$4+C276,PMT($F$4,$D$4,-$B$4)))</f>
        <v>1548.033455850172</v>
      </c>
      <c r="F276" s="10">
        <f>IF(A276="","",MAX(0,B276-D276))</f>
        <v>89845.02526380314</v>
      </c>
    </row>
    <row r="277">
      <c r="A277" s="19">
        <f>IF(271&lt;=$D$4,271,"")</f>
        <v>271</v>
      </c>
      <c r="B277" s="10">
        <f>IF(A277="","",F276)</f>
        <v>89845.02526380314</v>
      </c>
      <c r="C277" s="10">
        <f>IF(A277="","",B277*$F$4)</f>
        <v>943.372765269933</v>
      </c>
      <c r="D277" s="10">
        <f>IF(A277="","",E277-C277)</f>
        <v>604.660690580239</v>
      </c>
      <c r="E277" s="10">
        <f>IF(A277="","",IF($E$3="SAC",$B$4/$D$4+C277,PMT($F$4,$D$4,-$B$4)))</f>
        <v>1548.033455850172</v>
      </c>
      <c r="F277" s="10">
        <f>IF(A277="","",MAX(0,B277-D277))</f>
        <v>89240.3645732229</v>
      </c>
    </row>
    <row r="278">
      <c r="A278" s="19">
        <f>IF(272&lt;=$D$4,272,"")</f>
        <v>272</v>
      </c>
      <c r="B278" s="10">
        <f>IF(A278="","",F277)</f>
        <v>89240.3645732229</v>
      </c>
      <c r="C278" s="10">
        <f>IF(A278="","",B278*$F$4)</f>
        <v>937.0238280188406</v>
      </c>
      <c r="D278" s="10">
        <f>IF(A278="","",E278-C278)</f>
        <v>611.0096278313314</v>
      </c>
      <c r="E278" s="10">
        <f>IF(A278="","",IF($E$3="SAC",$B$4/$D$4+C278,PMT($F$4,$D$4,-$B$4)))</f>
        <v>1548.033455850172</v>
      </c>
      <c r="F278" s="10">
        <f>IF(A278="","",MAX(0,B278-D278))</f>
        <v>88629.35494539158</v>
      </c>
    </row>
    <row r="279">
      <c r="A279" s="19">
        <f>IF(273&lt;=$D$4,273,"")</f>
        <v>273</v>
      </c>
      <c r="B279" s="10">
        <f>IF(A279="","",F278)</f>
        <v>88629.35494539158</v>
      </c>
      <c r="C279" s="10">
        <f>IF(A279="","",B279*$F$4)</f>
        <v>930.6082269266116</v>
      </c>
      <c r="D279" s="10">
        <f>IF(A279="","",E279-C279)</f>
        <v>617.4252289235604</v>
      </c>
      <c r="E279" s="10">
        <f>IF(A279="","",IF($E$3="SAC",$B$4/$D$4+C279,PMT($F$4,$D$4,-$B$4)))</f>
        <v>1548.033455850172</v>
      </c>
      <c r="F279" s="10">
        <f>IF(A279="","",MAX(0,B279-D279))</f>
        <v>88011.92971646802</v>
      </c>
    </row>
    <row r="280">
      <c r="A280" s="19">
        <f>IF(274&lt;=$D$4,274,"")</f>
        <v>274</v>
      </c>
      <c r="B280" s="10">
        <f>IF(A280="","",F279)</f>
        <v>88011.92971646802</v>
      </c>
      <c r="C280" s="10">
        <f>IF(A280="","",B280*$F$4)</f>
        <v>924.1252620229143</v>
      </c>
      <c r="D280" s="10">
        <f>IF(A280="","",E280-C280)</f>
        <v>623.9081938272577</v>
      </c>
      <c r="E280" s="10">
        <f>IF(A280="","",IF($E$3="SAC",$B$4/$D$4+C280,PMT($F$4,$D$4,-$B$4)))</f>
        <v>1548.033455850172</v>
      </c>
      <c r="F280" s="10">
        <f>IF(A280="","",MAX(0,B280-D280))</f>
        <v>87388.02152264076</v>
      </c>
    </row>
    <row r="281">
      <c r="A281" s="19">
        <f>IF(275&lt;=$D$4,275,"")</f>
        <v>275</v>
      </c>
      <c r="B281" s="10">
        <f>IF(A281="","",F280)</f>
        <v>87388.02152264076</v>
      </c>
      <c r="C281" s="10">
        <f>IF(A281="","",B281*$F$4)</f>
        <v>917.574225987728</v>
      </c>
      <c r="D281" s="10">
        <f>IF(A281="","",E281-C281)</f>
        <v>630.459229862444</v>
      </c>
      <c r="E281" s="10">
        <f>IF(A281="","",IF($E$3="SAC",$B$4/$D$4+C281,PMT($F$4,$D$4,-$B$4)))</f>
        <v>1548.033455850172</v>
      </c>
      <c r="F281" s="10">
        <f>IF(A281="","",MAX(0,B281-D281))</f>
        <v>86757.56229277831</v>
      </c>
    </row>
    <row r="282">
      <c r="A282" s="19">
        <f>IF(276&lt;=$D$4,276,"")</f>
        <v>276</v>
      </c>
      <c r="B282" s="10">
        <f>IF(A282="","",F281)</f>
        <v>86757.56229277831</v>
      </c>
      <c r="C282" s="10">
        <f>IF(A282="","",B282*$F$4)</f>
        <v>910.9544040741723</v>
      </c>
      <c r="D282" s="10">
        <f>IF(A282="","",E282-C282)</f>
        <v>637.0790517759997</v>
      </c>
      <c r="E282" s="10">
        <f>IF(A282="","",IF($E$3="SAC",$B$4/$D$4+C282,PMT($F$4,$D$4,-$B$4)))</f>
        <v>1548.033455850172</v>
      </c>
      <c r="F282" s="10">
        <f>IF(A282="","",MAX(0,B282-D282))</f>
        <v>86120.48324100231</v>
      </c>
    </row>
    <row r="283">
      <c r="A283" s="19">
        <f>IF(277&lt;=$D$4,277,"")</f>
        <v>277</v>
      </c>
      <c r="B283" s="10">
        <f>IF(A283="","",F282)</f>
        <v>86120.48324100231</v>
      </c>
      <c r="C283" s="10">
        <f>IF(A283="","",B283*$F$4)</f>
        <v>904.2650740305243</v>
      </c>
      <c r="D283" s="10">
        <f>IF(A283="","",E283-C283)</f>
        <v>643.7683818196477</v>
      </c>
      <c r="E283" s="10">
        <f>IF(A283="","",IF($E$3="SAC",$B$4/$D$4+C283,PMT($F$4,$D$4,-$B$4)))</f>
        <v>1548.033455850172</v>
      </c>
      <c r="F283" s="10">
        <f>IF(A283="","",MAX(0,B283-D283))</f>
        <v>85476.71485918266</v>
      </c>
    </row>
    <row r="284">
      <c r="A284" s="19">
        <f>IF(278&lt;=$D$4,278,"")</f>
        <v>278</v>
      </c>
      <c r="B284" s="10">
        <f>IF(A284="","",F283)</f>
        <v>85476.71485918266</v>
      </c>
      <c r="C284" s="10">
        <f>IF(A284="","",B284*$F$4)</f>
        <v>897.5055060214179</v>
      </c>
      <c r="D284" s="10">
        <f>IF(A284="","",E284-C284)</f>
        <v>650.5279498287541</v>
      </c>
      <c r="E284" s="10">
        <f>IF(A284="","",IF($E$3="SAC",$B$4/$D$4+C284,PMT($F$4,$D$4,-$B$4)))</f>
        <v>1548.033455850172</v>
      </c>
      <c r="F284" s="10">
        <f>IF(A284="","",MAX(0,B284-D284))</f>
        <v>84826.1869093539</v>
      </c>
    </row>
    <row r="285">
      <c r="A285" s="19">
        <f>IF(279&lt;=$D$4,279,"")</f>
        <v>279</v>
      </c>
      <c r="B285" s="10">
        <f>IF(A285="","",F284)</f>
        <v>84826.1869093539</v>
      </c>
      <c r="C285" s="10">
        <f>IF(A285="","",B285*$F$4)</f>
        <v>890.674962548216</v>
      </c>
      <c r="D285" s="10">
        <f>IF(A285="","",E285-C285)</f>
        <v>657.3584933019561</v>
      </c>
      <c r="E285" s="10">
        <f>IF(A285="","",IF($E$3="SAC",$B$4/$D$4+C285,PMT($F$4,$D$4,-$B$4)))</f>
        <v>1548.033455850172</v>
      </c>
      <c r="F285" s="10">
        <f>IF(A285="","",MAX(0,B285-D285))</f>
        <v>84168.82841605194</v>
      </c>
    </row>
    <row r="286">
      <c r="A286" s="19">
        <f>IF(280&lt;=$D$4,280,"")</f>
        <v>280</v>
      </c>
      <c r="B286" s="10">
        <f>IF(A286="","",F285)</f>
        <v>84168.82841605194</v>
      </c>
      <c r="C286" s="10">
        <f>IF(A286="","",B286*$F$4)</f>
        <v>883.7726983685454</v>
      </c>
      <c r="D286" s="10">
        <f>IF(A286="","",E286-C286)</f>
        <v>664.2607574816266</v>
      </c>
      <c r="E286" s="10">
        <f>IF(A286="","",IF($E$3="SAC",$B$4/$D$4+C286,PMT($F$4,$D$4,-$B$4)))</f>
        <v>1548.033455850172</v>
      </c>
      <c r="F286" s="10">
        <f>IF(A286="","",MAX(0,B286-D286))</f>
        <v>83504.56765857032</v>
      </c>
    </row>
    <row r="287">
      <c r="A287" s="19">
        <f>IF(281&lt;=$D$4,281,"")</f>
        <v>281</v>
      </c>
      <c r="B287" s="10">
        <f>IF(A287="","",F286)</f>
        <v>83504.56765857032</v>
      </c>
      <c r="C287" s="10">
        <f>IF(A287="","",B287*$F$4)</f>
        <v>876.7979604149884</v>
      </c>
      <c r="D287" s="10">
        <f>IF(A287="","",E287-C287)</f>
        <v>671.2354954351836</v>
      </c>
      <c r="E287" s="10">
        <f>IF(A287="","",IF($E$3="SAC",$B$4/$D$4+C287,PMT($F$4,$D$4,-$B$4)))</f>
        <v>1548.033455850172</v>
      </c>
      <c r="F287" s="10">
        <f>IF(A287="","",MAX(0,B287-D287))</f>
        <v>82833.33216313513</v>
      </c>
    </row>
    <row r="288">
      <c r="A288" s="19">
        <f>IF(282&lt;=$D$4,282,"")</f>
        <v>282</v>
      </c>
      <c r="B288" s="10">
        <f>IF(A288="","",F287)</f>
        <v>82833.33216313513</v>
      </c>
      <c r="C288" s="10">
        <f>IF(A288="","",B288*$F$4)</f>
        <v>869.7499877129189</v>
      </c>
      <c r="D288" s="10">
        <f>IF(A288="","",E288-C288)</f>
        <v>678.2834681372531</v>
      </c>
      <c r="E288" s="10">
        <f>IF(A288="","",IF($E$3="SAC",$B$4/$D$4+C288,PMT($F$4,$D$4,-$B$4)))</f>
        <v>1548.033455850172</v>
      </c>
      <c r="F288" s="10">
        <f>IF(A288="","",MAX(0,B288-D288))</f>
        <v>82155.04869499788</v>
      </c>
    </row>
    <row r="289">
      <c r="A289" s="19">
        <f>IF(283&lt;=$D$4,283,"")</f>
        <v>283</v>
      </c>
      <c r="B289" s="10">
        <f>IF(A289="","",F288)</f>
        <v>82155.04869499788</v>
      </c>
      <c r="C289" s="10">
        <f>IF(A289="","",B289*$F$4)</f>
        <v>862.6280112974778</v>
      </c>
      <c r="D289" s="10">
        <f>IF(A289="","",E289-C289)</f>
        <v>685.4054445526942</v>
      </c>
      <c r="E289" s="10">
        <f>IF(A289="","",IF($E$3="SAC",$B$4/$D$4+C289,PMT($F$4,$D$4,-$B$4)))</f>
        <v>1548.033455850172</v>
      </c>
      <c r="F289" s="10">
        <f>IF(A289="","",MAX(0,B289-D289))</f>
        <v>81469.64325044518</v>
      </c>
    </row>
    <row r="290">
      <c r="A290" s="19">
        <f>IF(284&lt;=$D$4,284,"")</f>
        <v>284</v>
      </c>
      <c r="B290" s="10">
        <f>IF(A290="","",F289)</f>
        <v>81469.64325044518</v>
      </c>
      <c r="C290" s="10">
        <f>IF(A290="","",B290*$F$4)</f>
        <v>855.4312541296745</v>
      </c>
      <c r="D290" s="10">
        <f>IF(A290="","",E290-C290)</f>
        <v>692.6022017204975</v>
      </c>
      <c r="E290" s="10">
        <f>IF(A290="","",IF($E$3="SAC",$B$4/$D$4+C290,PMT($F$4,$D$4,-$B$4)))</f>
        <v>1548.033455850172</v>
      </c>
      <c r="F290" s="10">
        <f>IF(A290="","",MAX(0,B290-D290))</f>
        <v>80777.04104872468</v>
      </c>
    </row>
    <row r="291">
      <c r="A291" s="19">
        <f>IF(285&lt;=$D$4,285,"")</f>
        <v>285</v>
      </c>
      <c r="B291" s="10">
        <f>IF(A291="","",F290)</f>
        <v>80777.04104872468</v>
      </c>
      <c r="C291" s="10">
        <f>IF(A291="","",B291*$F$4)</f>
        <v>848.1589310116092</v>
      </c>
      <c r="D291" s="10">
        <f>IF(A291="","",E291-C291)</f>
        <v>699.8745248385628</v>
      </c>
      <c r="E291" s="10">
        <f>IF(A291="","",IF($E$3="SAC",$B$4/$D$4+C291,PMT($F$4,$D$4,-$B$4)))</f>
        <v>1548.033455850172</v>
      </c>
      <c r="F291" s="10">
        <f>IF(A291="","",MAX(0,B291-D291))</f>
        <v>80077.16652388612</v>
      </c>
    </row>
    <row r="292">
      <c r="A292" s="19">
        <f>IF(286&lt;=$D$4,286,"")</f>
        <v>286</v>
      </c>
      <c r="B292" s="10">
        <f>IF(A292="","",F291)</f>
        <v>80077.16652388612</v>
      </c>
      <c r="C292" s="10">
        <f>IF(A292="","",B292*$F$4)</f>
        <v>840.8102485008043</v>
      </c>
      <c r="D292" s="10">
        <f>IF(A292="","",E292-C292)</f>
        <v>707.2232073493677</v>
      </c>
      <c r="E292" s="10">
        <f>IF(A292="","",IF($E$3="SAC",$B$4/$D$4+C292,PMT($F$4,$D$4,-$B$4)))</f>
        <v>1548.033455850172</v>
      </c>
      <c r="F292" s="10">
        <f>IF(A292="","",MAX(0,B292-D292))</f>
        <v>79369.94331653675</v>
      </c>
    </row>
    <row r="293">
      <c r="A293" s="19">
        <f>IF(287&lt;=$D$4,287,"")</f>
        <v>287</v>
      </c>
      <c r="B293" s="10">
        <f>IF(A293="","",F292)</f>
        <v>79369.94331653675</v>
      </c>
      <c r="C293" s="10">
        <f>IF(A293="","",B293*$F$4)</f>
        <v>833.3844048236359</v>
      </c>
      <c r="D293" s="10">
        <f>IF(A293="","",E293-C293)</f>
        <v>714.6490510265361</v>
      </c>
      <c r="E293" s="10">
        <f>IF(A293="","",IF($E$3="SAC",$B$4/$D$4+C293,PMT($F$4,$D$4,-$B$4)))</f>
        <v>1548.033455850172</v>
      </c>
      <c r="F293" s="10">
        <f>IF(A293="","",MAX(0,B293-D293))</f>
        <v>78655.29426551021</v>
      </c>
    </row>
    <row r="294">
      <c r="A294" s="19">
        <f>IF(288&lt;=$D$4,288,"")</f>
        <v>288</v>
      </c>
      <c r="B294" s="10">
        <f>IF(A294="","",F293)</f>
        <v>78655.29426551021</v>
      </c>
      <c r="C294" s="10">
        <f>IF(A294="","",B294*$F$4)</f>
        <v>825.8805897878573</v>
      </c>
      <c r="D294" s="10">
        <f>IF(A294="","",E294-C294)</f>
        <v>722.1528660623147</v>
      </c>
      <c r="E294" s="10">
        <f>IF(A294="","",IF($E$3="SAC",$B$4/$D$4+C294,PMT($F$4,$D$4,-$B$4)))</f>
        <v>1548.033455850172</v>
      </c>
      <c r="F294" s="10">
        <f>IF(A294="","",MAX(0,B294-D294))</f>
        <v>77933.1413994479</v>
      </c>
    </row>
    <row r="295">
      <c r="A295" s="19">
        <f>IF(289&lt;=$D$4,289,"")</f>
        <v>289</v>
      </c>
      <c r="B295" s="10">
        <f>IF(A295="","",F294)</f>
        <v>77933.1413994479</v>
      </c>
      <c r="C295" s="10">
        <f>IF(A295="","",B295*$F$4)</f>
        <v>818.2979846942029</v>
      </c>
      <c r="D295" s="10">
        <f>IF(A295="","",E295-C295)</f>
        <v>729.7354711559691</v>
      </c>
      <c r="E295" s="10">
        <f>IF(A295="","",IF($E$3="SAC",$B$4/$D$4+C295,PMT($F$4,$D$4,-$B$4)))</f>
        <v>1548.033455850172</v>
      </c>
      <c r="F295" s="10">
        <f>IF(A295="","",MAX(0,B295-D295))</f>
        <v>77203.40592829192</v>
      </c>
    </row>
    <row r="296">
      <c r="A296" s="19">
        <f>IF(290&lt;=$D$4,290,"")</f>
        <v>290</v>
      </c>
      <c r="B296" s="10">
        <f>IF(A296="","",F295)</f>
        <v>77203.40592829192</v>
      </c>
      <c r="C296" s="10">
        <f>IF(A296="","",B296*$F$4)</f>
        <v>810.6357622470651</v>
      </c>
      <c r="D296" s="10">
        <f>IF(A296="","",E296-C296)</f>
        <v>737.3976936031069</v>
      </c>
      <c r="E296" s="10">
        <f>IF(A296="","",IF($E$3="SAC",$B$4/$D$4+C296,PMT($F$4,$D$4,-$B$4)))</f>
        <v>1548.033455850172</v>
      </c>
      <c r="F296" s="10">
        <f>IF(A296="","",MAX(0,B296-D296))</f>
        <v>76466.00823468881</v>
      </c>
    </row>
    <row r="297">
      <c r="A297" s="19">
        <f>IF(291&lt;=$D$4,291,"")</f>
        <v>291</v>
      </c>
      <c r="B297" s="10">
        <f>IF(A297="","",F296)</f>
        <v>76466.00823468881</v>
      </c>
      <c r="C297" s="10">
        <f>IF(A297="","",B297*$F$4)</f>
        <v>802.8930864642325</v>
      </c>
      <c r="D297" s="10">
        <f>IF(A297="","",E297-C297)</f>
        <v>745.1403693859395</v>
      </c>
      <c r="E297" s="10">
        <f>IF(A297="","",IF($E$3="SAC",$B$4/$D$4+C297,PMT($F$4,$D$4,-$B$4)))</f>
        <v>1548.033455850172</v>
      </c>
      <c r="F297" s="10">
        <f>IF(A297="","",MAX(0,B297-D297))</f>
        <v>75720.86786530286</v>
      </c>
    </row>
    <row r="298">
      <c r="A298" s="19">
        <f>IF(292&lt;=$D$4,292,"")</f>
        <v>292</v>
      </c>
      <c r="B298" s="10">
        <f>IF(A298="","",F297)</f>
        <v>75720.86786530286</v>
      </c>
      <c r="C298" s="10">
        <f>IF(A298="","",B298*$F$4)</f>
        <v>795.06911258568</v>
      </c>
      <c r="D298" s="10">
        <f>IF(A298="","",E298-C298)</f>
        <v>752.964343264492</v>
      </c>
      <c r="E298" s="10">
        <f>IF(A298="","",IF($E$3="SAC",$B$4/$D$4+C298,PMT($F$4,$D$4,-$B$4)))</f>
        <v>1548.033455850172</v>
      </c>
      <c r="F298" s="10">
        <f>IF(A298="","",MAX(0,B298-D298))</f>
        <v>74967.90352203837</v>
      </c>
    </row>
    <row r="299">
      <c r="A299" s="19">
        <f>IF(293&lt;=$D$4,293,"")</f>
        <v>293</v>
      </c>
      <c r="B299" s="10">
        <f>IF(A299="","",F298)</f>
        <v>74967.90352203837</v>
      </c>
      <c r="C299" s="10">
        <f>IF(A299="","",B299*$F$4)</f>
        <v>787.1629869814029</v>
      </c>
      <c r="D299" s="10">
        <f>IF(A299="","",E299-C299)</f>
        <v>760.8704688687691</v>
      </c>
      <c r="E299" s="10">
        <f>IF(A299="","",IF($E$3="SAC",$B$4/$D$4+C299,PMT($F$4,$D$4,-$B$4)))</f>
        <v>1548.033455850172</v>
      </c>
      <c r="F299" s="10">
        <f>IF(A299="","",MAX(0,B299-D299))</f>
        <v>74207.0330531696</v>
      </c>
    </row>
    <row r="300">
      <c r="A300" s="19">
        <f>IF(294&lt;=$D$4,294,"")</f>
        <v>294</v>
      </c>
      <c r="B300" s="10">
        <f>IF(A300="","",F299)</f>
        <v>74207.0330531696</v>
      </c>
      <c r="C300" s="10">
        <f>IF(A300="","",B300*$F$4)</f>
        <v>779.1738470582808</v>
      </c>
      <c r="D300" s="10">
        <f>IF(A300="","",E300-C300)</f>
        <v>768.8596087918912</v>
      </c>
      <c r="E300" s="10">
        <f>IF(A300="","",IF($E$3="SAC",$B$4/$D$4+C300,PMT($F$4,$D$4,-$B$4)))</f>
        <v>1548.033455850172</v>
      </c>
      <c r="F300" s="10">
        <f>IF(A300="","",MAX(0,B300-D300))</f>
        <v>73438.17344437771</v>
      </c>
    </row>
    <row r="301">
      <c r="A301" s="19">
        <f>IF(295&lt;=$D$4,295,"")</f>
        <v>295</v>
      </c>
      <c r="B301" s="10">
        <f>IF(A301="","",F300)</f>
        <v>73438.17344437771</v>
      </c>
      <c r="C301" s="10">
        <f>IF(A301="","",B301*$F$4)</f>
        <v>771.100821165966</v>
      </c>
      <c r="D301" s="10">
        <f>IF(A301="","",E301-C301)</f>
        <v>776.932634684206</v>
      </c>
      <c r="E301" s="10">
        <f>IF(A301="","",IF($E$3="SAC",$B$4/$D$4+C301,PMT($F$4,$D$4,-$B$4)))</f>
        <v>1548.033455850172</v>
      </c>
      <c r="F301" s="10">
        <f>IF(A301="","",MAX(0,B301-D301))</f>
        <v>72661.24080969351</v>
      </c>
    </row>
    <row r="302">
      <c r="A302" s="19">
        <f>IF(296&lt;=$D$4,296,"")</f>
        <v>296</v>
      </c>
      <c r="B302" s="10">
        <f>IF(A302="","",F301)</f>
        <v>72661.24080969351</v>
      </c>
      <c r="C302" s="10">
        <f>IF(A302="","",B302*$F$4)</f>
        <v>762.9430285017819</v>
      </c>
      <c r="D302" s="10">
        <f>IF(A302="","",E302-C302)</f>
        <v>785.0904273483901</v>
      </c>
      <c r="E302" s="10">
        <f>IF(A302="","",IF($E$3="SAC",$B$4/$D$4+C302,PMT($F$4,$D$4,-$B$4)))</f>
        <v>1548.033455850172</v>
      </c>
      <c r="F302" s="10">
        <f>IF(A302="","",MAX(0,B302-D302))</f>
        <v>71876.15038234512</v>
      </c>
    </row>
    <row r="303">
      <c r="A303" s="19">
        <f>IF(297&lt;=$D$4,297,"")</f>
        <v>297</v>
      </c>
      <c r="B303" s="10">
        <f>IF(A303="","",F302)</f>
        <v>71876.15038234512</v>
      </c>
      <c r="C303" s="10">
        <f>IF(A303="","",B303*$F$4)</f>
        <v>754.6995790146239</v>
      </c>
      <c r="D303" s="10">
        <f>IF(A303="","",E303-C303)</f>
        <v>793.3338768355482</v>
      </c>
      <c r="E303" s="10">
        <f>IF(A303="","",IF($E$3="SAC",$B$4/$D$4+C303,PMT($F$4,$D$4,-$B$4)))</f>
        <v>1548.033455850172</v>
      </c>
      <c r="F303" s="10">
        <f>IF(A303="","",MAX(0,B303-D303))</f>
        <v>71082.81650550957</v>
      </c>
    </row>
    <row r="304">
      <c r="A304" s="19">
        <f>IF(298&lt;=$D$4,298,"")</f>
        <v>298</v>
      </c>
      <c r="B304" s="10">
        <f>IF(A304="","",F303)</f>
        <v>71082.81650550957</v>
      </c>
      <c r="C304" s="10">
        <f>IF(A304="","",B304*$F$4)</f>
        <v>746.3695733078506</v>
      </c>
      <c r="D304" s="10">
        <f>IF(A304="","",E304-C304)</f>
        <v>801.6638825423214</v>
      </c>
      <c r="E304" s="10">
        <f>IF(A304="","",IF($E$3="SAC",$B$4/$D$4+C304,PMT($F$4,$D$4,-$B$4)))</f>
        <v>1548.033455850172</v>
      </c>
      <c r="F304" s="10">
        <f>IF(A304="","",MAX(0,B304-D304))</f>
        <v>70281.15262296726</v>
      </c>
    </row>
    <row r="305">
      <c r="A305" s="19">
        <f>IF(299&lt;=$D$4,299,"")</f>
        <v>299</v>
      </c>
      <c r="B305" s="10">
        <f>IF(A305="","",F304)</f>
        <v>70281.15262296726</v>
      </c>
      <c r="C305" s="10">
        <f>IF(A305="","",B305*$F$4)</f>
        <v>737.9521025411563</v>
      </c>
      <c r="D305" s="10">
        <f>IF(A305="","",E305-C305)</f>
        <v>810.0813533090158</v>
      </c>
      <c r="E305" s="10">
        <f>IF(A305="","",IF($E$3="SAC",$B$4/$D$4+C305,PMT($F$4,$D$4,-$B$4)))</f>
        <v>1548.033455850172</v>
      </c>
      <c r="F305" s="10">
        <f>IF(A305="","",MAX(0,B305-D305))</f>
        <v>69471.07126965825</v>
      </c>
    </row>
    <row r="306">
      <c r="A306" s="19">
        <f>IF(300&lt;=$D$4,300,"")</f>
        <v>300</v>
      </c>
      <c r="B306" s="10">
        <f>IF(A306="","",F305)</f>
        <v>69471.07126965825</v>
      </c>
      <c r="C306" s="10">
        <f>IF(A306="","",B306*$F$4)</f>
        <v>729.4462483314117</v>
      </c>
      <c r="D306" s="10">
        <f>IF(A306="","",E306-C306)</f>
        <v>818.5872075187604</v>
      </c>
      <c r="E306" s="10">
        <f>IF(A306="","",IF($E$3="SAC",$B$4/$D$4+C306,PMT($F$4,$D$4,-$B$4)))</f>
        <v>1548.033455850172</v>
      </c>
      <c r="F306" s="10">
        <f>IF(A306="","",MAX(0,B306-D306))</f>
        <v>68652.48406213948</v>
      </c>
    </row>
    <row r="307">
      <c r="A307" s="19">
        <f>IF(301&lt;=$D$4,301,"")</f>
        <v>301</v>
      </c>
      <c r="B307" s="10">
        <f>IF(A307="","",F306)</f>
        <v>68652.48406213948</v>
      </c>
      <c r="C307" s="10">
        <f>IF(A307="","",B307*$F$4)</f>
        <v>720.8510826524646</v>
      </c>
      <c r="D307" s="10">
        <f>IF(A307="","",E307-C307)</f>
        <v>827.1823731977074</v>
      </c>
      <c r="E307" s="10">
        <f>IF(A307="","",IF($E$3="SAC",$B$4/$D$4+C307,PMT($F$4,$D$4,-$B$4)))</f>
        <v>1548.033455850172</v>
      </c>
      <c r="F307" s="10">
        <f>IF(A307="","",MAX(0,B307-D307))</f>
        <v>67825.30168894178</v>
      </c>
    </row>
    <row r="308">
      <c r="A308" s="19">
        <f>IF(302&lt;=$D$4,302,"")</f>
        <v>302</v>
      </c>
      <c r="B308" s="10">
        <f>IF(A308="","",F307)</f>
        <v>67825.30168894178</v>
      </c>
      <c r="C308" s="10">
        <f>IF(A308="","",B308*$F$4)</f>
        <v>712.1656677338887</v>
      </c>
      <c r="D308" s="10">
        <f>IF(A308="","",E308-C308)</f>
        <v>835.8677881162834</v>
      </c>
      <c r="E308" s="10">
        <f>IF(A308="","",IF($E$3="SAC",$B$4/$D$4+C308,PMT($F$4,$D$4,-$B$4)))</f>
        <v>1548.033455850172</v>
      </c>
      <c r="F308" s="10">
        <f>IF(A308="","",MAX(0,B308-D308))</f>
        <v>66989.43390082549</v>
      </c>
    </row>
    <row r="309">
      <c r="A309" s="19">
        <f>IF(303&lt;=$D$4,303,"")</f>
        <v>303</v>
      </c>
      <c r="B309" s="10">
        <f>IF(A309="","",F308)</f>
        <v>66989.43390082549</v>
      </c>
      <c r="C309" s="10">
        <f>IF(A309="","",B309*$F$4)</f>
        <v>703.3890559586677</v>
      </c>
      <c r="D309" s="10">
        <f>IF(A309="","",E309-C309)</f>
        <v>844.6443998915043</v>
      </c>
      <c r="E309" s="10">
        <f>IF(A309="","",IF($E$3="SAC",$B$4/$D$4+C309,PMT($F$4,$D$4,-$B$4)))</f>
        <v>1548.033455850172</v>
      </c>
      <c r="F309" s="10">
        <f>IF(A309="","",MAX(0,B309-D309))</f>
        <v>66144.78950093398</v>
      </c>
    </row>
    <row r="310">
      <c r="A310" s="19">
        <f>IF(304&lt;=$D$4,304,"")</f>
        <v>304</v>
      </c>
      <c r="B310" s="10">
        <f>IF(A310="","",F309)</f>
        <v>66144.78950093398</v>
      </c>
      <c r="C310" s="10">
        <f>IF(A310="","",B310*$F$4)</f>
        <v>694.5202897598069</v>
      </c>
      <c r="D310" s="10">
        <f>IF(A310="","",E310-C310)</f>
        <v>853.5131660903651</v>
      </c>
      <c r="E310" s="10">
        <f>IF(A310="","",IF($E$3="SAC",$B$4/$D$4+C310,PMT($F$4,$D$4,-$B$4)))</f>
        <v>1548.033455850172</v>
      </c>
      <c r="F310" s="10">
        <f>IF(A310="","",MAX(0,B310-D310))</f>
        <v>65291.27633484362</v>
      </c>
    </row>
    <row r="311">
      <c r="A311" s="19">
        <f>IF(305&lt;=$D$4,305,"")</f>
        <v>305</v>
      </c>
      <c r="B311" s="10">
        <f>IF(A311="","",F310)</f>
        <v>65291.27633484362</v>
      </c>
      <c r="C311" s="10">
        <f>IF(A311="","",B311*$F$4)</f>
        <v>685.558401515858</v>
      </c>
      <c r="D311" s="10">
        <f>IF(A311="","",E311-C311)</f>
        <v>862.475054334314</v>
      </c>
      <c r="E311" s="10">
        <f>IF(A311="","",IF($E$3="SAC",$B$4/$D$4+C311,PMT($F$4,$D$4,-$B$4)))</f>
        <v>1548.033455850172</v>
      </c>
      <c r="F311" s="10">
        <f>IF(A311="","",MAX(0,B311-D311))</f>
        <v>64428.80128050931</v>
      </c>
    </row>
    <row r="312">
      <c r="A312" s="19">
        <f>IF(306&lt;=$D$4,306,"")</f>
        <v>306</v>
      </c>
      <c r="B312" s="10">
        <f>IF(A312="","",F311)</f>
        <v>64428.80128050931</v>
      </c>
      <c r="C312" s="10">
        <f>IF(A312="","",B312*$F$4)</f>
        <v>676.5024134453478</v>
      </c>
      <c r="D312" s="10">
        <f>IF(A312="","",E312-C312)</f>
        <v>871.5310424048242</v>
      </c>
      <c r="E312" s="10">
        <f>IF(A312="","",IF($E$3="SAC",$B$4/$D$4+C312,PMT($F$4,$D$4,-$B$4)))</f>
        <v>1548.033455850172</v>
      </c>
      <c r="F312" s="10">
        <f>IF(A312="","",MAX(0,B312-D312))</f>
        <v>63557.27023810449</v>
      </c>
    </row>
    <row r="313">
      <c r="A313" s="19">
        <f>IF(307&lt;=$D$4,307,"")</f>
        <v>307</v>
      </c>
      <c r="B313" s="10">
        <f>IF(A313="","",F312)</f>
        <v>63557.27023810449</v>
      </c>
      <c r="C313" s="10">
        <f>IF(A313="","",B313*$F$4)</f>
        <v>667.3513375000972</v>
      </c>
      <c r="D313" s="10">
        <f>IF(A313="","",E313-C313)</f>
        <v>880.6821183500748</v>
      </c>
      <c r="E313" s="10">
        <f>IF(A313="","",IF($E$3="SAC",$B$4/$D$4+C313,PMT($F$4,$D$4,-$B$4)))</f>
        <v>1548.033455850172</v>
      </c>
      <c r="F313" s="10">
        <f>IF(A313="","",MAX(0,B313-D313))</f>
        <v>62676.588119754415</v>
      </c>
    </row>
    <row r="314">
      <c r="A314" s="19">
        <f>IF(308&lt;=$D$4,308,"")</f>
        <v>308</v>
      </c>
      <c r="B314" s="10">
        <f>IF(A314="","",F313)</f>
        <v>62676.588119754415</v>
      </c>
      <c r="C314" s="10">
        <f>IF(A314="","",B314*$F$4)</f>
        <v>658.1041752574214</v>
      </c>
      <c r="D314" s="10">
        <f>IF(A314="","",E314-C314)</f>
        <v>889.9292805927506</v>
      </c>
      <c r="E314" s="10">
        <f>IF(A314="","",IF($E$3="SAC",$B$4/$D$4+C314,PMT($F$4,$D$4,-$B$4)))</f>
        <v>1548.033455850172</v>
      </c>
      <c r="F314" s="10">
        <f>IF(A314="","",MAX(0,B314-D314))</f>
        <v>61786.65883916167</v>
      </c>
    </row>
    <row r="315">
      <c r="A315" s="19">
        <f>IF(309&lt;=$D$4,309,"")</f>
        <v>309</v>
      </c>
      <c r="B315" s="10">
        <f>IF(A315="","",F314)</f>
        <v>61786.65883916167</v>
      </c>
      <c r="C315" s="10">
        <f>IF(A315="","",B315*$F$4)</f>
        <v>648.7599178111975</v>
      </c>
      <c r="D315" s="10">
        <f>IF(A315="","",E315-C315)</f>
        <v>899.2735380389745</v>
      </c>
      <c r="E315" s="10">
        <f>IF(A315="","",IF($E$3="SAC",$B$4/$D$4+C315,PMT($F$4,$D$4,-$B$4)))</f>
        <v>1548.033455850172</v>
      </c>
      <c r="F315" s="10">
        <f>IF(A315="","",MAX(0,B315-D315))</f>
        <v>60887.3853011227</v>
      </c>
    </row>
    <row r="316">
      <c r="A316" s="19">
        <f>IF(310&lt;=$D$4,310,"")</f>
        <v>310</v>
      </c>
      <c r="B316" s="10">
        <f>IF(A316="","",F315)</f>
        <v>60887.3853011227</v>
      </c>
      <c r="C316" s="10">
        <f>IF(A316="","",B316*$F$4)</f>
        <v>639.3175456617884</v>
      </c>
      <c r="D316" s="10">
        <f>IF(A316="","",E316-C316)</f>
        <v>908.7159101883836</v>
      </c>
      <c r="E316" s="10">
        <f>IF(A316="","",IF($E$3="SAC",$B$4/$D$4+C316,PMT($F$4,$D$4,-$B$4)))</f>
        <v>1548.033455850172</v>
      </c>
      <c r="F316" s="10">
        <f>IF(A316="","",MAX(0,B316-D316))</f>
        <v>59978.669390934316</v>
      </c>
    </row>
    <row r="317">
      <c r="A317" s="19">
        <f>IF(311&lt;=$D$4,311,"")</f>
        <v>311</v>
      </c>
      <c r="B317" s="10">
        <f>IF(A317="","",F316)</f>
        <v>59978.669390934316</v>
      </c>
      <c r="C317" s="10">
        <f>IF(A317="","",B317*$F$4)</f>
        <v>629.7760286048103</v>
      </c>
      <c r="D317" s="10">
        <f>IF(A317="","",E317-C317)</f>
        <v>918.2574272453617</v>
      </c>
      <c r="E317" s="10">
        <f>IF(A317="","",IF($E$3="SAC",$B$4/$D$4+C317,PMT($F$4,$D$4,-$B$4)))</f>
        <v>1548.033455850172</v>
      </c>
      <c r="F317" s="10">
        <f>IF(A317="","",MAX(0,B317-D317))</f>
        <v>59060.41196368895</v>
      </c>
    </row>
    <row r="318">
      <c r="A318" s="19">
        <f>IF(312&lt;=$D$4,312,"")</f>
        <v>312</v>
      </c>
      <c r="B318" s="10">
        <f>IF(A318="","",F317)</f>
        <v>59060.41196368895</v>
      </c>
      <c r="C318" s="10">
        <f>IF(A318="","",B318*$F$4)</f>
        <v>620.134325618734</v>
      </c>
      <c r="D318" s="10">
        <f>IF(A318="","",E318-C318)</f>
        <v>927.899130231438</v>
      </c>
      <c r="E318" s="10">
        <f>IF(A318="","",IF($E$3="SAC",$B$4/$D$4+C318,PMT($F$4,$D$4,-$B$4)))</f>
        <v>1548.033455850172</v>
      </c>
      <c r="F318" s="10">
        <f>IF(A318="","",MAX(0,B318-D318))</f>
        <v>58132.51283345751</v>
      </c>
    </row>
    <row r="319">
      <c r="A319" s="19">
        <f>IF(313&lt;=$D$4,313,"")</f>
        <v>313</v>
      </c>
      <c r="B319" s="10">
        <f>IF(A319="","",F318)</f>
        <v>58132.51283345751</v>
      </c>
      <c r="C319" s="10">
        <f>IF(A319="","",B319*$F$4)</f>
        <v>610.3913847513039</v>
      </c>
      <c r="D319" s="10">
        <f>IF(A319="","",E319-C319)</f>
        <v>937.6420710988681</v>
      </c>
      <c r="E319" s="10">
        <f>IF(A319="","",IF($E$3="SAC",$B$4/$D$4+C319,PMT($F$4,$D$4,-$B$4)))</f>
        <v>1548.033455850172</v>
      </c>
      <c r="F319" s="10">
        <f>IF(A319="","",MAX(0,B319-D319))</f>
        <v>57194.870762358645</v>
      </c>
    </row>
    <row r="320">
      <c r="A320" s="19">
        <f>IF(314&lt;=$D$4,314,"")</f>
        <v>314</v>
      </c>
      <c r="B320" s="10">
        <f>IF(A320="","",F319)</f>
        <v>57194.870762358645</v>
      </c>
      <c r="C320" s="10">
        <f>IF(A320="","",B320*$F$4)</f>
        <v>600.5461430047658</v>
      </c>
      <c r="D320" s="10">
        <f>IF(A320="","",E320-C320)</f>
        <v>947.4873128454062</v>
      </c>
      <c r="E320" s="10">
        <f>IF(A320="","",IF($E$3="SAC",$B$4/$D$4+C320,PMT($F$4,$D$4,-$B$4)))</f>
        <v>1548.033455850172</v>
      </c>
      <c r="F320" s="10">
        <f>IF(A320="","",MAX(0,B320-D320))</f>
        <v>56247.38344951324</v>
      </c>
    </row>
    <row r="321">
      <c r="A321" s="19">
        <f>IF(315&lt;=$D$4,315,"")</f>
        <v>315</v>
      </c>
      <c r="B321" s="10">
        <f>IF(A321="","",F320)</f>
        <v>56247.38344951324</v>
      </c>
      <c r="C321" s="10">
        <f>IF(A321="","",B321*$F$4)</f>
        <v>590.597526219889</v>
      </c>
      <c r="D321" s="10">
        <f>IF(A321="","",E321-C321)</f>
        <v>957.435929630283</v>
      </c>
      <c r="E321" s="10">
        <f>IF(A321="","",IF($E$3="SAC",$B$4/$D$4+C321,PMT($F$4,$D$4,-$B$4)))</f>
        <v>1548.033455850172</v>
      </c>
      <c r="F321" s="10">
        <f>IF(A321="","",MAX(0,B321-D321))</f>
        <v>55289.94751988295</v>
      </c>
    </row>
    <row r="322">
      <c r="A322" s="19">
        <f>IF(316&lt;=$D$4,316,"")</f>
        <v>316</v>
      </c>
      <c r="B322" s="10">
        <f>IF(A322="","",F321)</f>
        <v>55289.94751988295</v>
      </c>
      <c r="C322" s="10">
        <f>IF(A322="","",B322*$F$4)</f>
        <v>580.544448958771</v>
      </c>
      <c r="D322" s="10">
        <f>IF(A322="","",E322-C322)</f>
        <v>967.489006891401</v>
      </c>
      <c r="E322" s="10">
        <f>IF(A322="","",IF($E$3="SAC",$B$4/$D$4+C322,PMT($F$4,$D$4,-$B$4)))</f>
        <v>1548.033455850172</v>
      </c>
      <c r="F322" s="10">
        <f>IF(A322="","",MAX(0,B322-D322))</f>
        <v>54322.45851299155</v>
      </c>
    </row>
    <row r="323">
      <c r="A323" s="19">
        <f>IF(317&lt;=$D$4,317,"")</f>
        <v>317</v>
      </c>
      <c r="B323" s="10">
        <f>IF(A323="","",F322)</f>
        <v>54322.45851299155</v>
      </c>
      <c r="C323" s="10">
        <f>IF(A323="","",B323*$F$4)</f>
        <v>570.3858143864113</v>
      </c>
      <c r="D323" s="10">
        <f>IF(A323="","",E323-C323)</f>
        <v>977.6476414637607</v>
      </c>
      <c r="E323" s="10">
        <f>IF(A323="","",IF($E$3="SAC",$B$4/$D$4+C323,PMT($F$4,$D$4,-$B$4)))</f>
        <v>1548.033455850172</v>
      </c>
      <c r="F323" s="10">
        <f>IF(A323="","",MAX(0,B323-D323))</f>
        <v>53344.81087152779</v>
      </c>
    </row>
    <row r="324">
      <c r="A324" s="19">
        <f>IF(318&lt;=$D$4,318,"")</f>
        <v>318</v>
      </c>
      <c r="B324" s="10">
        <f>IF(A324="","",F323)</f>
        <v>53344.81087152779</v>
      </c>
      <c r="C324" s="10">
        <f>IF(A324="","",B324*$F$4)</f>
        <v>560.1205141510419</v>
      </c>
      <c r="D324" s="10">
        <f>IF(A324="","",E324-C324)</f>
        <v>987.9129416991301</v>
      </c>
      <c r="E324" s="10">
        <f>IF(A324="","",IF($E$3="SAC",$B$4/$D$4+C324,PMT($F$4,$D$4,-$B$4)))</f>
        <v>1548.033455850172</v>
      </c>
      <c r="F324" s="10">
        <f>IF(A324="","",MAX(0,B324-D324))</f>
        <v>52356.897929828665</v>
      </c>
    </row>
    <row r="325">
      <c r="A325" s="19">
        <f>IF(319&lt;=$D$4,319,"")</f>
        <v>319</v>
      </c>
      <c r="B325" s="10">
        <f>IF(A325="","",F324)</f>
        <v>52356.897929828665</v>
      </c>
      <c r="C325" s="10">
        <f>IF(A325="","",B325*$F$4)</f>
        <v>549.7474282632011</v>
      </c>
      <c r="D325" s="10">
        <f>IF(A325="","",E325-C325)</f>
        <v>998.2860275869709</v>
      </c>
      <c r="E325" s="10">
        <f>IF(A325="","",IF($E$3="SAC",$B$4/$D$4+C325,PMT($F$4,$D$4,-$B$4)))</f>
        <v>1548.033455850172</v>
      </c>
      <c r="F325" s="10">
        <f>IF(A325="","",MAX(0,B325-D325))</f>
        <v>51358.6119022417</v>
      </c>
    </row>
    <row r="326">
      <c r="A326" s="19">
        <f>IF(320&lt;=$D$4,320,"")</f>
        <v>320</v>
      </c>
      <c r="B326" s="10">
        <f>IF(A326="","",F325)</f>
        <v>51358.6119022417</v>
      </c>
      <c r="C326" s="10">
        <f>IF(A326="","",B326*$F$4)</f>
        <v>539.2654249735378</v>
      </c>
      <c r="D326" s="10">
        <f>IF(A326="","",E326-C326)</f>
        <v>1008.7680308766342</v>
      </c>
      <c r="E326" s="10">
        <f>IF(A326="","",IF($E$3="SAC",$B$4/$D$4+C326,PMT($F$4,$D$4,-$B$4)))</f>
        <v>1548.033455850172</v>
      </c>
      <c r="F326" s="10">
        <f>IF(A326="","",MAX(0,B326-D326))</f>
        <v>50349.84387136506</v>
      </c>
    </row>
    <row r="327">
      <c r="A327" s="19">
        <f>IF(321&lt;=$D$4,321,"")</f>
        <v>321</v>
      </c>
      <c r="B327" s="10">
        <f>IF(A327="","",F326)</f>
        <v>50349.84387136506</v>
      </c>
      <c r="C327" s="10">
        <f>IF(A327="","",B327*$F$4)</f>
        <v>528.6733606493332</v>
      </c>
      <c r="D327" s="10">
        <f>IF(A327="","",E327-C327)</f>
        <v>1019.3600952008388</v>
      </c>
      <c r="E327" s="10">
        <f>IF(A327="","",IF($E$3="SAC",$B$4/$D$4+C327,PMT($F$4,$D$4,-$B$4)))</f>
        <v>1548.033455850172</v>
      </c>
      <c r="F327" s="10">
        <f>IF(A327="","",MAX(0,B327-D327))</f>
        <v>49330.48377616422</v>
      </c>
    </row>
    <row r="328">
      <c r="A328" s="19">
        <f>IF(322&lt;=$D$4,322,"")</f>
        <v>322</v>
      </c>
      <c r="B328" s="10">
        <f>IF(A328="","",F327)</f>
        <v>49330.48377616422</v>
      </c>
      <c r="C328" s="10">
        <f>IF(A328="","",B328*$F$4)</f>
        <v>517.9700796497243</v>
      </c>
      <c r="D328" s="10">
        <f>IF(A328="","",E328-C328)</f>
        <v>1030.0633762004477</v>
      </c>
      <c r="E328" s="10">
        <f>IF(A328="","",IF($E$3="SAC",$B$4/$D$4+C328,PMT($F$4,$D$4,-$B$4)))</f>
        <v>1548.033455850172</v>
      </c>
      <c r="F328" s="10">
        <f>IF(A328="","",MAX(0,B328-D328))</f>
        <v>48300.42039996377</v>
      </c>
    </row>
    <row r="329">
      <c r="A329" s="19">
        <f>IF(323&lt;=$D$4,323,"")</f>
        <v>323</v>
      </c>
      <c r="B329" s="10">
        <f>IF(A329="","",F328)</f>
        <v>48300.42039996377</v>
      </c>
      <c r="C329" s="10">
        <f>IF(A329="","",B329*$F$4)</f>
        <v>507.1544141996196</v>
      </c>
      <c r="D329" s="10">
        <f>IF(A329="","",E329-C329)</f>
        <v>1040.8790416505524</v>
      </c>
      <c r="E329" s="10">
        <f>IF(A329="","",IF($E$3="SAC",$B$4/$D$4+C329,PMT($F$4,$D$4,-$B$4)))</f>
        <v>1548.033455850172</v>
      </c>
      <c r="F329" s="10">
        <f>IF(A329="","",MAX(0,B329-D329))</f>
        <v>47259.54135831322</v>
      </c>
    </row>
    <row r="330">
      <c r="A330" s="19">
        <f>IF(324&lt;=$D$4,324,"")</f>
        <v>324</v>
      </c>
      <c r="B330" s="10">
        <f>IF(A330="","",F329)</f>
        <v>47259.54135831322</v>
      </c>
      <c r="C330" s="10">
        <f>IF(A330="","",B330*$F$4)</f>
        <v>496.2251842622888</v>
      </c>
      <c r="D330" s="10">
        <f>IF(A330="","",E330-C330)</f>
        <v>1051.8082715878832</v>
      </c>
      <c r="E330" s="10">
        <f>IF(A330="","",IF($E$3="SAC",$B$4/$D$4+C330,PMT($F$4,$D$4,-$B$4)))</f>
        <v>1548.033455850172</v>
      </c>
      <c r="F330" s="10">
        <f>IF(A330="","",MAX(0,B330-D330))</f>
        <v>46207.73308672533</v>
      </c>
    </row>
    <row r="331">
      <c r="A331" s="19">
        <f>IF(325&lt;=$D$4,325,"")</f>
        <v>325</v>
      </c>
      <c r="B331" s="10">
        <f>IF(A331="","",F330)</f>
        <v>46207.73308672533</v>
      </c>
      <c r="C331" s="10">
        <f>IF(A331="","",B331*$F$4)</f>
        <v>485.18119741061605</v>
      </c>
      <c r="D331" s="10">
        <f>IF(A331="","",E331-C331)</f>
        <v>1062.852258439556</v>
      </c>
      <c r="E331" s="10">
        <f>IF(A331="","",IF($E$3="SAC",$B$4/$D$4+C331,PMT($F$4,$D$4,-$B$4)))</f>
        <v>1548.033455850172</v>
      </c>
      <c r="F331" s="10">
        <f>IF(A331="","",MAX(0,B331-D331))</f>
        <v>45144.88082828578</v>
      </c>
    </row>
    <row r="332">
      <c r="A332" s="19">
        <f>IF(326&lt;=$D$4,326,"")</f>
        <v>326</v>
      </c>
      <c r="B332" s="10">
        <f>IF(A332="","",F331)</f>
        <v>45144.88082828578</v>
      </c>
      <c r="C332" s="10">
        <f>IF(A332="","",B332*$F$4)</f>
        <v>474.0212486970007</v>
      </c>
      <c r="D332" s="10">
        <f>IF(A332="","",E332-C332)</f>
        <v>1074.0122071531714</v>
      </c>
      <c r="E332" s="10">
        <f>IF(A332="","",IF($E$3="SAC",$B$4/$D$4+C332,PMT($F$4,$D$4,-$B$4)))</f>
        <v>1548.033455850172</v>
      </c>
      <c r="F332" s="10">
        <f>IF(A332="","",MAX(0,B332-D332))</f>
        <v>44070.868621132606</v>
      </c>
    </row>
    <row r="333">
      <c r="A333" s="19">
        <f>IF(327&lt;=$D$4,327,"")</f>
        <v>327</v>
      </c>
      <c r="B333" s="10">
        <f>IF(A333="","",F332)</f>
        <v>44070.868621132606</v>
      </c>
      <c r="C333" s="10">
        <f>IF(A333="","",B333*$F$4)</f>
        <v>462.7441205218924</v>
      </c>
      <c r="D333" s="10">
        <f>IF(A333="","",E333-C333)</f>
        <v>1085.2893353282795</v>
      </c>
      <c r="E333" s="10">
        <f>IF(A333="","",IF($E$3="SAC",$B$4/$D$4+C333,PMT($F$4,$D$4,-$B$4)))</f>
        <v>1548.033455850172</v>
      </c>
      <c r="F333" s="10">
        <f>IF(A333="","",MAX(0,B333-D333))</f>
        <v>42985.57928580433</v>
      </c>
    </row>
    <row r="334">
      <c r="A334" s="19">
        <f>IF(328&lt;=$D$4,328,"")</f>
        <v>328</v>
      </c>
      <c r="B334" s="10">
        <f>IF(A334="","",F333)</f>
        <v>42985.57928580433</v>
      </c>
      <c r="C334" s="10">
        <f>IF(A334="","",B334*$F$4)</f>
        <v>451.3485825009455</v>
      </c>
      <c r="D334" s="10">
        <f>IF(A334="","",E334-C334)</f>
        <v>1096.6848733492266</v>
      </c>
      <c r="E334" s="10">
        <f>IF(A334="","",IF($E$3="SAC",$B$4/$D$4+C334,PMT($F$4,$D$4,-$B$4)))</f>
        <v>1548.033455850172</v>
      </c>
      <c r="F334" s="10">
        <f>IF(A334="","",MAX(0,B334-D334))</f>
        <v>41888.8944124551</v>
      </c>
    </row>
    <row r="335">
      <c r="A335" s="19">
        <f>IF(329&lt;=$D$4,329,"")</f>
        <v>329</v>
      </c>
      <c r="B335" s="10">
        <f>IF(A335="","",F334)</f>
        <v>41888.8944124551</v>
      </c>
      <c r="C335" s="10">
        <f>IF(A335="","",B335*$F$4)</f>
        <v>439.83339133077857</v>
      </c>
      <c r="D335" s="10">
        <f>IF(A335="","",E335-C335)</f>
        <v>1108.2000645193934</v>
      </c>
      <c r="E335" s="10">
        <f>IF(A335="","",IF($E$3="SAC",$B$4/$D$4+C335,PMT($F$4,$D$4,-$B$4)))</f>
        <v>1548.033455850172</v>
      </c>
      <c r="F335" s="10">
        <f>IF(A335="","",MAX(0,B335-D335))</f>
        <v>40780.69434793571</v>
      </c>
    </row>
    <row r="336">
      <c r="A336" s="19">
        <f>IF(330&lt;=$D$4,330,"")</f>
        <v>330</v>
      </c>
      <c r="B336" s="10">
        <f>IF(A336="","",F335)</f>
        <v>40780.69434793571</v>
      </c>
      <c r="C336" s="10">
        <f>IF(A336="","",B336*$F$4)</f>
        <v>428.19729065332496</v>
      </c>
      <c r="D336" s="10">
        <f>IF(A336="","",E336-C336)</f>
        <v>1119.836165196847</v>
      </c>
      <c r="E336" s="10">
        <f>IF(A336="","",IF($E$3="SAC",$B$4/$D$4+C336,PMT($F$4,$D$4,-$B$4)))</f>
        <v>1548.033455850172</v>
      </c>
      <c r="F336" s="10">
        <f>IF(A336="","",MAX(0,B336-D336))</f>
        <v>39660.85818273886</v>
      </c>
    </row>
    <row r="337">
      <c r="A337" s="19">
        <f>IF(331&lt;=$D$4,331,"")</f>
        <v>331</v>
      </c>
      <c r="B337" s="10">
        <f>IF(A337="","",F336)</f>
        <v>39660.85818273886</v>
      </c>
      <c r="C337" s="10">
        <f>IF(A337="","",B337*$F$4)</f>
        <v>416.4390109187581</v>
      </c>
      <c r="D337" s="10">
        <f>IF(A337="","",E337-C337)</f>
        <v>1131.5944449314138</v>
      </c>
      <c r="E337" s="10">
        <f>IF(A337="","",IF($E$3="SAC",$B$4/$D$4+C337,PMT($F$4,$D$4,-$B$4)))</f>
        <v>1548.033455850172</v>
      </c>
      <c r="F337" s="10">
        <f>IF(A337="","",MAX(0,B337-D337))</f>
        <v>38529.26373780745</v>
      </c>
    </row>
    <row r="338">
      <c r="A338" s="19">
        <f>IF(332&lt;=$D$4,332,"")</f>
        <v>332</v>
      </c>
      <c r="B338" s="10">
        <f>IF(A338="","",F337)</f>
        <v>38529.26373780745</v>
      </c>
      <c r="C338" s="10">
        <f>IF(A338="","",B338*$F$4)</f>
        <v>404.55726924697825</v>
      </c>
      <c r="D338" s="10">
        <f>IF(A338="","",E338-C338)</f>
        <v>1143.4761866031938</v>
      </c>
      <c r="E338" s="10">
        <f>IF(A338="","",IF($E$3="SAC",$B$4/$D$4+C338,PMT($F$4,$D$4,-$B$4)))</f>
        <v>1548.033455850172</v>
      </c>
      <c r="F338" s="10">
        <f>IF(A338="","",MAX(0,B338-D338))</f>
        <v>37385.78755120426</v>
      </c>
    </row>
    <row r="339">
      <c r="A339" s="19">
        <f>IF(333&lt;=$D$4,333,"")</f>
        <v>333</v>
      </c>
      <c r="B339" s="10">
        <f>IF(A339="","",F338)</f>
        <v>37385.78755120426</v>
      </c>
      <c r="C339" s="10">
        <f>IF(A339="","",B339*$F$4)</f>
        <v>392.55076928764475</v>
      </c>
      <c r="D339" s="10">
        <f>IF(A339="","",E339-C339)</f>
        <v>1155.4826865625273</v>
      </c>
      <c r="E339" s="10">
        <f>IF(A339="","",IF($E$3="SAC",$B$4/$D$4+C339,PMT($F$4,$D$4,-$B$4)))</f>
        <v>1548.033455850172</v>
      </c>
      <c r="F339" s="10">
        <f>IF(A339="","",MAX(0,B339-D339))</f>
        <v>36230.30486464173</v>
      </c>
    </row>
    <row r="340">
      <c r="A340" s="19">
        <f>IF(334&lt;=$D$4,334,"")</f>
        <v>334</v>
      </c>
      <c r="B340" s="10">
        <f>IF(A340="","",F339)</f>
        <v>36230.30486464173</v>
      </c>
      <c r="C340" s="10">
        <f>IF(A340="","",B340*$F$4)</f>
        <v>380.4182010787382</v>
      </c>
      <c r="D340" s="10">
        <f>IF(A340="","",E340-C340)</f>
        <v>1167.6152547714337</v>
      </c>
      <c r="E340" s="10">
        <f>IF(A340="","",IF($E$3="SAC",$B$4/$D$4+C340,PMT($F$4,$D$4,-$B$4)))</f>
        <v>1548.033455850172</v>
      </c>
      <c r="F340" s="10">
        <f>IF(A340="","",MAX(0,B340-D340))</f>
        <v>35062.6896098703</v>
      </c>
    </row>
    <row r="341">
      <c r="A341" s="19">
        <f>IF(335&lt;=$D$4,335,"")</f>
        <v>335</v>
      </c>
      <c r="B341" s="10">
        <f>IF(A341="","",F340)</f>
        <v>35062.6896098703</v>
      </c>
      <c r="C341" s="10">
        <f>IF(A341="","",B341*$F$4)</f>
        <v>368.15824090363816</v>
      </c>
      <c r="D341" s="10">
        <f>IF(A341="","",E341-C341)</f>
        <v>1179.8752149465338</v>
      </c>
      <c r="E341" s="10">
        <f>IF(A341="","",IF($E$3="SAC",$B$4/$D$4+C341,PMT($F$4,$D$4,-$B$4)))</f>
        <v>1548.033455850172</v>
      </c>
      <c r="F341" s="10">
        <f>IF(A341="","",MAX(0,B341-D341))</f>
        <v>33882.814394923764</v>
      </c>
    </row>
    <row r="342">
      <c r="A342" s="19">
        <f>IF(336&lt;=$D$4,336,"")</f>
        <v>336</v>
      </c>
      <c r="B342" s="10">
        <f>IF(A342="","",F341)</f>
        <v>33882.814394923764</v>
      </c>
      <c r="C342" s="10">
        <f>IF(A342="","",B342*$F$4)</f>
        <v>355.76955114669954</v>
      </c>
      <c r="D342" s="10">
        <f>IF(A342="","",E342-C342)</f>
        <v>1192.2639047034725</v>
      </c>
      <c r="E342" s="10">
        <f>IF(A342="","",IF($E$3="SAC",$B$4/$D$4+C342,PMT($F$4,$D$4,-$B$4)))</f>
        <v>1548.033455850172</v>
      </c>
      <c r="F342" s="10">
        <f>IF(A342="","",MAX(0,B342-D342))</f>
        <v>32690.550490220292</v>
      </c>
    </row>
    <row r="343">
      <c r="A343" s="19">
        <f>IF(337&lt;=$D$4,337,"")</f>
        <v>337</v>
      </c>
      <c r="B343" s="10">
        <f>IF(A343="","",F342)</f>
        <v>32690.550490220292</v>
      </c>
      <c r="C343" s="10">
        <f>IF(A343="","",B343*$F$4)</f>
        <v>343.2507801473131</v>
      </c>
      <c r="D343" s="10">
        <f>IF(A343="","",E343-C343)</f>
        <v>1204.7826757028588</v>
      </c>
      <c r="E343" s="10">
        <f>IF(A343="","",IF($E$3="SAC",$B$4/$D$4+C343,PMT($F$4,$D$4,-$B$4)))</f>
        <v>1548.033455850172</v>
      </c>
      <c r="F343" s="10">
        <f>IF(A343="","",MAX(0,B343-D343))</f>
        <v>31485.767814517432</v>
      </c>
    </row>
    <row r="344">
      <c r="A344" s="19">
        <f>IF(338&lt;=$D$4,338,"")</f>
        <v>338</v>
      </c>
      <c r="B344" s="10">
        <f>IF(A344="","",F343)</f>
        <v>31485.767814517432</v>
      </c>
      <c r="C344" s="10">
        <f>IF(A344="","",B344*$F$4)</f>
        <v>330.6005620524331</v>
      </c>
      <c r="D344" s="10">
        <f>IF(A344="","",E344-C344)</f>
        <v>1217.4328937977389</v>
      </c>
      <c r="E344" s="10">
        <f>IF(A344="","",IF($E$3="SAC",$B$4/$D$4+C344,PMT($F$4,$D$4,-$B$4)))</f>
        <v>1548.033455850172</v>
      </c>
      <c r="F344" s="10">
        <f>IF(A344="","",MAX(0,B344-D344))</f>
        <v>30268.334920719695</v>
      </c>
    </row>
    <row r="345">
      <c r="A345" s="19">
        <f>IF(339&lt;=$D$4,339,"")</f>
        <v>339</v>
      </c>
      <c r="B345" s="10">
        <f>IF(A345="","",F344)</f>
        <v>30268.334920719695</v>
      </c>
      <c r="C345" s="10">
        <f>IF(A345="","",B345*$F$4)</f>
        <v>317.81751666755684</v>
      </c>
      <c r="D345" s="10">
        <f>IF(A345="","",E345-C345)</f>
        <v>1230.215939182615</v>
      </c>
      <c r="E345" s="10">
        <f>IF(A345="","",IF($E$3="SAC",$B$4/$D$4+C345,PMT($F$4,$D$4,-$B$4)))</f>
        <v>1548.033455850172</v>
      </c>
      <c r="F345" s="10">
        <f>IF(A345="","",MAX(0,B345-D345))</f>
        <v>29038.11898153708</v>
      </c>
    </row>
    <row r="346">
      <c r="A346" s="19">
        <f>IF(340&lt;=$D$4,340,"")</f>
        <v>340</v>
      </c>
      <c r="B346" s="10">
        <f>IF(A346="","",F345)</f>
        <v>29038.11898153708</v>
      </c>
      <c r="C346" s="10">
        <f>IF(A346="","",B346*$F$4)</f>
        <v>304.90024930613936</v>
      </c>
      <c r="D346" s="10">
        <f>IF(A346="","",E346-C346)</f>
        <v>1243.1332065440326</v>
      </c>
      <c r="E346" s="10">
        <f>IF(A346="","",IF($E$3="SAC",$B$4/$D$4+C346,PMT($F$4,$D$4,-$B$4)))</f>
        <v>1548.033455850172</v>
      </c>
      <c r="F346" s="10">
        <f>IF(A346="","",MAX(0,B346-D346))</f>
        <v>27794.98577499305</v>
      </c>
    </row>
    <row r="347">
      <c r="A347" s="19">
        <f>IF(341&lt;=$D$4,341,"")</f>
        <v>341</v>
      </c>
      <c r="B347" s="10">
        <f>IF(A347="","",F346)</f>
        <v>27794.98577499305</v>
      </c>
      <c r="C347" s="10">
        <f>IF(A347="","",B347*$F$4)</f>
        <v>291.84735063742704</v>
      </c>
      <c r="D347" s="10">
        <f>IF(A347="","",E347-C347)</f>
        <v>1256.186105212745</v>
      </c>
      <c r="E347" s="10">
        <f>IF(A347="","",IF($E$3="SAC",$B$4/$D$4+C347,PMT($F$4,$D$4,-$B$4)))</f>
        <v>1548.033455850172</v>
      </c>
      <c r="F347" s="10">
        <f>IF(A347="","",MAX(0,B347-D347))</f>
        <v>26538.799669780303</v>
      </c>
    </row>
    <row r="348">
      <c r="A348" s="19">
        <f>IF(342&lt;=$D$4,342,"")</f>
        <v>342</v>
      </c>
      <c r="B348" s="10">
        <f>IF(A348="","",F347)</f>
        <v>26538.799669780303</v>
      </c>
      <c r="C348" s="10">
        <f>IF(A348="","",B348*$F$4)</f>
        <v>278.6573965326932</v>
      </c>
      <c r="D348" s="10">
        <f>IF(A348="","",E348-C348)</f>
        <v>1269.3760593174788</v>
      </c>
      <c r="E348" s="10">
        <f>IF(A348="","",IF($E$3="SAC",$B$4/$D$4+C348,PMT($F$4,$D$4,-$B$4)))</f>
        <v>1548.033455850172</v>
      </c>
      <c r="F348" s="10">
        <f>IF(A348="","",MAX(0,B348-D348))</f>
        <v>25269.423610462825</v>
      </c>
    </row>
    <row r="349">
      <c r="A349" s="19">
        <f>IF(343&lt;=$D$4,343,"")</f>
        <v>343</v>
      </c>
      <c r="B349" s="10">
        <f>IF(A349="","",F348)</f>
        <v>25269.423610462825</v>
      </c>
      <c r="C349" s="10">
        <f>IF(A349="","",B349*$F$4)</f>
        <v>265.32894790985966</v>
      </c>
      <c r="D349" s="10">
        <f>IF(A349="","",E349-C349)</f>
        <v>1282.7045079403124</v>
      </c>
      <c r="E349" s="10">
        <f>IF(A349="","",IF($E$3="SAC",$B$4/$D$4+C349,PMT($F$4,$D$4,-$B$4)))</f>
        <v>1548.033455850172</v>
      </c>
      <c r="F349" s="10">
        <f>IF(A349="","",MAX(0,B349-D349))</f>
        <v>23986.71910252251</v>
      </c>
    </row>
    <row r="350">
      <c r="A350" s="19">
        <f>IF(344&lt;=$D$4,344,"")</f>
        <v>344</v>
      </c>
      <c r="B350" s="10">
        <f>IF(A350="","",F349)</f>
        <v>23986.71910252251</v>
      </c>
      <c r="C350" s="10">
        <f>IF(A350="","",B350*$F$4)</f>
        <v>251.8605505764864</v>
      </c>
      <c r="D350" s="10">
        <f>IF(A350="","",E350-C350)</f>
        <v>1296.1729052736855</v>
      </c>
      <c r="E350" s="10">
        <f>IF(A350="","",IF($E$3="SAC",$B$4/$D$4+C350,PMT($F$4,$D$4,-$B$4)))</f>
        <v>1548.033455850172</v>
      </c>
      <c r="F350" s="10">
        <f>IF(A350="","",MAX(0,B350-D350))</f>
        <v>22690.546197248827</v>
      </c>
    </row>
    <row r="351">
      <c r="A351" s="19">
        <f>IF(345&lt;=$D$4,345,"")</f>
        <v>345</v>
      </c>
      <c r="B351" s="10">
        <f>IF(A351="","",F350)</f>
        <v>22690.546197248827</v>
      </c>
      <c r="C351" s="10">
        <f>IF(A351="","",B351*$F$4)</f>
        <v>238.2507350711127</v>
      </c>
      <c r="D351" s="10">
        <f>IF(A351="","",E351-C351)</f>
        <v>1309.7827207790592</v>
      </c>
      <c r="E351" s="10">
        <f>IF(A351="","",IF($E$3="SAC",$B$4/$D$4+C351,PMT($F$4,$D$4,-$B$4)))</f>
        <v>1548.033455850172</v>
      </c>
      <c r="F351" s="10">
        <f>IF(A351="","",MAX(0,B351-D351))</f>
        <v>21380.76347646977</v>
      </c>
    </row>
    <row r="352">
      <c r="A352" s="19">
        <f>IF(346&lt;=$D$4,346,"")</f>
        <v>346</v>
      </c>
      <c r="B352" s="10">
        <f>IF(A352="","",F351)</f>
        <v>21380.76347646977</v>
      </c>
      <c r="C352" s="10">
        <f>IF(A352="","",B352*$F$4)</f>
        <v>224.4980165029326</v>
      </c>
      <c r="D352" s="10">
        <f>IF(A352="","",E352-C352)</f>
        <v>1323.5354393472394</v>
      </c>
      <c r="E352" s="10">
        <f>IF(A352="","",IF($E$3="SAC",$B$4/$D$4+C352,PMT($F$4,$D$4,-$B$4)))</f>
        <v>1548.033455850172</v>
      </c>
      <c r="F352" s="10">
        <f>IF(A352="","",MAX(0,B352-D352))</f>
        <v>20057.228037122528</v>
      </c>
    </row>
    <row r="353">
      <c r="A353" s="19">
        <f>IF(347&lt;=$D$4,347,"")</f>
        <v>347</v>
      </c>
      <c r="B353" s="10">
        <f>IF(A353="","",F352)</f>
        <v>20057.228037122528</v>
      </c>
      <c r="C353" s="10">
        <f>IF(A353="","",B353*$F$4)</f>
        <v>210.60089438978656</v>
      </c>
      <c r="D353" s="10">
        <f>IF(A353="","",E353-C353)</f>
        <v>1337.4325614603854</v>
      </c>
      <c r="E353" s="10">
        <f>IF(A353="","",IF($E$3="SAC",$B$4/$D$4+C353,PMT($F$4,$D$4,-$B$4)))</f>
        <v>1548.033455850172</v>
      </c>
      <c r="F353" s="10">
        <f>IF(A353="","",MAX(0,B353-D353))</f>
        <v>18719.795475662144</v>
      </c>
    </row>
    <row r="354">
      <c r="A354" s="19">
        <f>IF(348&lt;=$D$4,348,"")</f>
        <v>348</v>
      </c>
      <c r="B354" s="10">
        <f>IF(A354="","",F353)</f>
        <v>18719.795475662144</v>
      </c>
      <c r="C354" s="10">
        <f>IF(A354="","",B354*$F$4)</f>
        <v>196.55785249445253</v>
      </c>
      <c r="D354" s="10">
        <f>IF(A354="","",E354-C354)</f>
        <v>1351.4756033557194</v>
      </c>
      <c r="E354" s="10">
        <f>IF(A354="","",IF($E$3="SAC",$B$4/$D$4+C354,PMT($F$4,$D$4,-$B$4)))</f>
        <v>1548.033455850172</v>
      </c>
      <c r="F354" s="10">
        <f>IF(A354="","",MAX(0,B354-D354))</f>
        <v>17368.319872306423</v>
      </c>
    </row>
    <row r="355">
      <c r="A355" s="19">
        <f>IF(349&lt;=$D$4,349,"")</f>
        <v>349</v>
      </c>
      <c r="B355" s="10">
        <f>IF(A355="","",F354)</f>
        <v>17368.319872306423</v>
      </c>
      <c r="C355" s="10">
        <f>IF(A355="","",B355*$F$4)</f>
        <v>182.36735865921744</v>
      </c>
      <c r="D355" s="10">
        <f>IF(A355="","",E355-C355)</f>
        <v>1365.6660971909546</v>
      </c>
      <c r="E355" s="10">
        <f>IF(A355="","",IF($E$3="SAC",$B$4/$D$4+C355,PMT($F$4,$D$4,-$B$4)))</f>
        <v>1548.033455850172</v>
      </c>
      <c r="F355" s="10">
        <f>IF(A355="","",MAX(0,B355-D355))</f>
        <v>16002.653775115468</v>
      </c>
    </row>
    <row r="356">
      <c r="A356" s="19">
        <f>IF(350&lt;=$D$4,350,"")</f>
        <v>350</v>
      </c>
      <c r="B356" s="10">
        <f>IF(A356="","",F355)</f>
        <v>16002.653775115468</v>
      </c>
      <c r="C356" s="10">
        <f>IF(A356="","",B356*$F$4)</f>
        <v>168.02786463871243</v>
      </c>
      <c r="D356" s="10">
        <f>IF(A356="","",E356-C356)</f>
        <v>1380.0055912114597</v>
      </c>
      <c r="E356" s="10">
        <f>IF(A356="","",IF($E$3="SAC",$B$4/$D$4+C356,PMT($F$4,$D$4,-$B$4)))</f>
        <v>1548.033455850172</v>
      </c>
      <c r="F356" s="10">
        <f>IF(A356="","",MAX(0,B356-D356))</f>
        <v>14622.648183904008</v>
      </c>
    </row>
    <row r="357">
      <c r="A357" s="19">
        <f>IF(351&lt;=$D$4,351,"")</f>
        <v>351</v>
      </c>
      <c r="B357" s="10">
        <f>IF(A357="","",F356)</f>
        <v>14622.648183904008</v>
      </c>
      <c r="C357" s="10">
        <f>IF(A357="","",B357*$F$4)</f>
        <v>153.5378059309921</v>
      </c>
      <c r="D357" s="10">
        <f>IF(A357="","",E357-C357)</f>
        <v>1394.4956499191799</v>
      </c>
      <c r="E357" s="10">
        <f>IF(A357="","",IF($E$3="SAC",$B$4/$D$4+C357,PMT($F$4,$D$4,-$B$4)))</f>
        <v>1548.033455850172</v>
      </c>
      <c r="F357" s="10">
        <f>IF(A357="","",MAX(0,B357-D357))</f>
        <v>13228.152533984829</v>
      </c>
    </row>
    <row r="358">
      <c r="A358" s="19">
        <f>IF(352&lt;=$D$4,352,"")</f>
        <v>352</v>
      </c>
      <c r="B358" s="10">
        <f>IF(A358="","",F357)</f>
        <v>13228.152533984829</v>
      </c>
      <c r="C358" s="10">
        <f>IF(A358="","",B358*$F$4)</f>
        <v>138.8956016068407</v>
      </c>
      <c r="D358" s="10">
        <f>IF(A358="","",E358-C358)</f>
        <v>1409.1378542433313</v>
      </c>
      <c r="E358" s="10">
        <f>IF(A358="","",IF($E$3="SAC",$B$4/$D$4+C358,PMT($F$4,$D$4,-$B$4)))</f>
        <v>1548.033455850172</v>
      </c>
      <c r="F358" s="10">
        <f>IF(A358="","",MAX(0,B358-D358))</f>
        <v>11819.014679741496</v>
      </c>
    </row>
    <row r="359">
      <c r="A359" s="19">
        <f>IF(353&lt;=$D$4,353,"")</f>
        <v>353</v>
      </c>
      <c r="B359" s="10">
        <f>IF(A359="","",F358)</f>
        <v>11819.014679741496</v>
      </c>
      <c r="C359" s="10">
        <f>IF(A359="","",B359*$F$4)</f>
        <v>124.09965413728573</v>
      </c>
      <c r="D359" s="10">
        <f>IF(A359="","",E359-C359)</f>
        <v>1423.9338017128862</v>
      </c>
      <c r="E359" s="10">
        <f>IF(A359="","",IF($E$3="SAC",$B$4/$D$4+C359,PMT($F$4,$D$4,-$B$4)))</f>
        <v>1548.033455850172</v>
      </c>
      <c r="F359" s="10">
        <f>IF(A359="","",MAX(0,B359-D359))</f>
        <v>10395.08087802861</v>
      </c>
    </row>
    <row r="360">
      <c r="A360" s="19">
        <f>IF(354&lt;=$D$4,354,"")</f>
        <v>354</v>
      </c>
      <c r="B360" s="10">
        <f>IF(A360="","",F359)</f>
        <v>10395.08087802861</v>
      </c>
      <c r="C360" s="10">
        <f>IF(A360="","",B360*$F$4)</f>
        <v>109.14834921930041</v>
      </c>
      <c r="D360" s="10">
        <f>IF(A360="","",E360-C360)</f>
        <v>1438.8851066308716</v>
      </c>
      <c r="E360" s="10">
        <f>IF(A360="","",IF($E$3="SAC",$B$4/$D$4+C360,PMT($F$4,$D$4,-$B$4)))</f>
        <v>1548.033455850172</v>
      </c>
      <c r="F360" s="10">
        <f>IF(A360="","",MAX(0,B360-D360))</f>
        <v>8956.195771397739</v>
      </c>
    </row>
    <row r="361">
      <c r="A361" s="19">
        <f>IF(355&lt;=$D$4,355,"")</f>
        <v>355</v>
      </c>
      <c r="B361" s="10">
        <f>IF(A361="","",F360)</f>
        <v>8956.195771397739</v>
      </c>
      <c r="C361" s="10">
        <f>IF(A361="","",B361*$F$4)</f>
        <v>94.04005559967626</v>
      </c>
      <c r="D361" s="10">
        <f>IF(A361="","",E361-C361)</f>
        <v>1453.9934002504958</v>
      </c>
      <c r="E361" s="10">
        <f>IF(A361="","",IF($E$3="SAC",$B$4/$D$4+C361,PMT($F$4,$D$4,-$B$4)))</f>
        <v>1548.033455850172</v>
      </c>
      <c r="F361" s="10">
        <f>IF(A361="","",MAX(0,B361-D361))</f>
        <v>7502.202371147243</v>
      </c>
    </row>
    <row r="362">
      <c r="A362" s="19">
        <f>IF(356&lt;=$D$4,356,"")</f>
        <v>356</v>
      </c>
      <c r="B362" s="10">
        <f>IF(A362="","",F361)</f>
        <v>7502.202371147243</v>
      </c>
      <c r="C362" s="10">
        <f>IF(A362="","",B362*$F$4)</f>
        <v>78.77312489704606</v>
      </c>
      <c r="D362" s="10">
        <f>IF(A362="","",E362-C362)</f>
        <v>1469.260330953126</v>
      </c>
      <c r="E362" s="10">
        <f>IF(A362="","",IF($E$3="SAC",$B$4/$D$4+C362,PMT($F$4,$D$4,-$B$4)))</f>
        <v>1548.033455850172</v>
      </c>
      <c r="F362" s="10">
        <f>IF(A362="","",MAX(0,B362-D362))</f>
        <v>6032.942040194117</v>
      </c>
    </row>
    <row r="363">
      <c r="A363" s="19">
        <f>IF(357&lt;=$D$4,357,"")</f>
        <v>357</v>
      </c>
      <c r="B363" s="10">
        <f>IF(A363="","",F362)</f>
        <v>6032.942040194117</v>
      </c>
      <c r="C363" s="10">
        <f>IF(A363="","",B363*$F$4)</f>
        <v>63.345891422038235</v>
      </c>
      <c r="D363" s="10">
        <f>IF(A363="","",E363-C363)</f>
        <v>1484.6875644281338</v>
      </c>
      <c r="E363" s="10">
        <f>IF(A363="","",IF($E$3="SAC",$B$4/$D$4+C363,PMT($F$4,$D$4,-$B$4)))</f>
        <v>1548.033455850172</v>
      </c>
      <c r="F363" s="10">
        <f>IF(A363="","",MAX(0,B363-D363))</f>
        <v>4548.254475765983</v>
      </c>
    </row>
    <row r="364">
      <c r="A364" s="19">
        <f>IF(358&lt;=$D$4,358,"")</f>
        <v>358</v>
      </c>
      <c r="B364" s="10">
        <f>IF(A364="","",F363)</f>
        <v>4548.254475765983</v>
      </c>
      <c r="C364" s="10">
        <f>IF(A364="","",B364*$F$4)</f>
        <v>47.75667199554283</v>
      </c>
      <c r="D364" s="10">
        <f>IF(A364="","",E364-C364)</f>
        <v>1500.2767838546292</v>
      </c>
      <c r="E364" s="10">
        <f>IF(A364="","",IF($E$3="SAC",$B$4/$D$4+C364,PMT($F$4,$D$4,-$B$4)))</f>
        <v>1548.033455850172</v>
      </c>
      <c r="F364" s="10">
        <f>IF(A364="","",MAX(0,B364-D364))</f>
        <v>3047.977691911354</v>
      </c>
    </row>
    <row r="365">
      <c r="A365" s="19">
        <f>IF(359&lt;=$D$4,359,"")</f>
        <v>359</v>
      </c>
      <c r="B365" s="10">
        <f>IF(A365="","",F364)</f>
        <v>3047.977691911354</v>
      </c>
      <c r="C365" s="10">
        <f>IF(A365="","",B365*$F$4)</f>
        <v>32.00376576506922</v>
      </c>
      <c r="D365" s="10">
        <f>IF(A365="","",E365-C365)</f>
        <v>1516.0296900851029</v>
      </c>
      <c r="E365" s="10">
        <f>IF(A365="","",IF($E$3="SAC",$B$4/$D$4+C365,PMT($F$4,$D$4,-$B$4)))</f>
        <v>1548.033455850172</v>
      </c>
      <c r="F365" s="10">
        <f>IF(A365="","",MAX(0,B365-D365))</f>
        <v>1531.9480018262514</v>
      </c>
    </row>
    <row r="366">
      <c r="A366" s="19">
        <f>IF(360&lt;=$D$4,360,"")</f>
        <v>360</v>
      </c>
      <c r="B366" s="10">
        <f>IF(A366="","",F365)</f>
        <v>1531.9480018262514</v>
      </c>
      <c r="C366" s="10">
        <f>IF(A366="","",B366*$F$4)</f>
        <v>16.08545401917564</v>
      </c>
      <c r="D366" s="10">
        <f>IF(A366="","",E366-C366)</f>
        <v>1531.9480018309964</v>
      </c>
      <c r="E366" s="10">
        <f>IF(A366="","",IF($E$3="SAC",$B$4/$D$4+C366,PMT($F$4,$D$4,-$B$4)))</f>
        <v>1548.033455850172</v>
      </c>
      <c r="F366" s="10">
        <f>IF(A366="","",MAX(0,B366-D366))</f>
        <v>0</v>
      </c>
    </row>
  </sheetData>
  <dataValidations count="1">
    <dataValidation sqref="B3" showDropDown="0" showInputMessage="0" showErrorMessage="0" allowBlank="1" type="list">
      <formula1>"A,B,C"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A900"/>
    <outlinePr summaryBelow="1" summaryRight="1"/>
    <pageSetUpPr fitToPage="1"/>
  </sheetPr>
  <dimension ref="A1:E4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6" customWidth="1" min="4" max="4"/>
    <col width="16" customWidth="1" min="5" max="5"/>
  </cols>
  <sheetData>
    <row r="1" ht="28" customHeight="1">
      <c r="A1" s="1" t="inlineStr">
        <is>
          <t>Simulador de juros compostos</t>
        </is>
      </c>
    </row>
    <row r="2">
      <c r="A2" s="2" t="inlineStr">
        <is>
          <t>Digite o capital inicial, o aporte mensal, a taxa ao mês e o prazo. A tabela mostra a evolução ano a ano.</t>
        </is>
      </c>
    </row>
    <row r="3">
      <c r="A3" s="12" t="inlineStr">
        <is>
          <t>Capital inicial (R$)</t>
        </is>
      </c>
      <c r="B3" s="5" t="n">
        <v>5000</v>
      </c>
    </row>
    <row r="4">
      <c r="A4" s="12" t="inlineStr">
        <is>
          <t>Aporte mensal (R$)</t>
        </is>
      </c>
      <c r="B4" s="5" t="n">
        <v>400</v>
      </c>
    </row>
    <row r="5">
      <c r="A5" s="12" t="inlineStr">
        <is>
          <t>Taxa ao mês</t>
        </is>
      </c>
      <c r="B5" s="6" t="n">
        <v>0.008</v>
      </c>
    </row>
    <row r="6">
      <c r="A6" s="12" t="inlineStr">
        <is>
          <t>Prazo (meses)</t>
        </is>
      </c>
      <c r="B6" s="7" t="n">
        <v>60</v>
      </c>
    </row>
    <row r="7"/>
    <row r="8">
      <c r="A8" s="12" t="inlineStr">
        <is>
          <t>Valor final (R$)</t>
        </is>
      </c>
      <c r="B8" s="13">
        <f>FV(B5,B6,-B4,-B3)</f>
        <v>38714.5014060271</v>
      </c>
    </row>
    <row r="9">
      <c r="A9" s="4" t="inlineStr">
        <is>
          <t>Total investido (R$)</t>
        </is>
      </c>
      <c r="B9" s="13">
        <f>B3+B4*B6</f>
        <v>29000.0</v>
      </c>
    </row>
    <row r="10">
      <c r="A10" s="4" t="inlineStr">
        <is>
          <t>Rendimento (R$)</t>
        </is>
      </c>
      <c r="B10" s="13">
        <f>B8-B9</f>
        <v>9714.501406027099</v>
      </c>
    </row>
    <row r="11">
      <c r="A11" s="4" t="inlineStr">
        <is>
          <t>Taxa equivalente ao ano</t>
        </is>
      </c>
      <c r="B11" s="20">
        <f>(1+B5)^12-1</f>
        <v>0.10033869371614634</v>
      </c>
    </row>
    <row r="12"/>
    <row r="13" ht="34" customHeight="1">
      <c r="A13" s="3" t="inlineStr">
        <is>
          <t>Ano</t>
        </is>
      </c>
      <c r="B13" s="3" t="inlineStr">
        <is>
          <t>Mês final</t>
        </is>
      </c>
      <c r="C13" s="3" t="inlineStr">
        <is>
          <t>Total investido</t>
        </is>
      </c>
      <c r="D13" s="3" t="inlineStr">
        <is>
          <t>Valor acumulado</t>
        </is>
      </c>
      <c r="E13" s="3" t="inlineStr">
        <is>
          <t>Rendimento acumulado</t>
        </is>
      </c>
    </row>
    <row r="14">
      <c r="A14" s="19" t="n">
        <v>1</v>
      </c>
      <c r="B14" s="19">
        <f>IF(A14*12&lt;=$B$6,A14*12,"")</f>
        <v>12.0</v>
      </c>
      <c r="C14" s="10">
        <f>IF(B14="","",$B$3+$B$4*B14)</f>
        <v>9800.0</v>
      </c>
      <c r="D14" s="10">
        <f>IF(B14="","",FV($B$5,B14,-$B$4,-$B$3))</f>
        <v>10518.628154388049</v>
      </c>
      <c r="E14" s="10">
        <f>IF(B14="","",D14-C14)</f>
        <v>718.6281543880486</v>
      </c>
    </row>
    <row r="15">
      <c r="A15" s="19" t="n">
        <v>2</v>
      </c>
      <c r="B15" s="19">
        <f>IF(A15*12&lt;=$B$6,A15*12,"")</f>
        <v>24.0</v>
      </c>
      <c r="C15" s="10">
        <f>IF(B15="","",$B$3+$B$4*B15)</f>
        <v>14600.0</v>
      </c>
      <c r="D15" s="10">
        <f>IF(B15="","",FV($B$5,B15,-$B$4,-$B$3))</f>
        <v>16590.988248892547</v>
      </c>
      <c r="E15" s="10">
        <f>IF(B15="","",D15-C15)</f>
        <v>1990.9882488925468</v>
      </c>
    </row>
    <row r="16">
      <c r="A16" s="19" t="n">
        <v>3</v>
      </c>
      <c r="B16" s="19">
        <f>IF(A16*12&lt;=$B$6,A16*12,"")</f>
        <v>36.0</v>
      </c>
      <c r="C16" s="10">
        <f>IF(B16="","",$B$3+$B$4*B16)</f>
        <v>19400.0</v>
      </c>
      <c r="D16" s="10">
        <f>IF(B16="","",FV($B$5,B16,-$B$4,-$B$3))</f>
        <v>23272.641023053686</v>
      </c>
      <c r="E16" s="10">
        <f>IF(B16="","",D16-C16)</f>
        <v>3872.641023053686</v>
      </c>
    </row>
    <row r="17">
      <c r="A17" s="19" t="n">
        <v>4</v>
      </c>
      <c r="B17" s="19">
        <f>IF(A17*12&lt;=$B$6,A17*12,"")</f>
        <v>48.0</v>
      </c>
      <c r="C17" s="10">
        <f>IF(B17="","",$B$3+$B$4*B17)</f>
        <v>24200.0</v>
      </c>
      <c r="D17" s="10">
        <f>IF(B17="","",FV($B$5,B17,-$B$4,-$B$3))</f>
        <v>30624.722108439015</v>
      </c>
      <c r="E17" s="10">
        <f>IF(B17="","",D17-C17)</f>
        <v>6424.722108439015</v>
      </c>
    </row>
    <row r="18">
      <c r="A18" s="19" t="n">
        <v>5</v>
      </c>
      <c r="B18" s="19">
        <f>IF(A18*12&lt;=$B$6,A18*12,"")</f>
        <v>60.0</v>
      </c>
      <c r="C18" s="10">
        <f>IF(B18="","",$B$3+$B$4*B18)</f>
        <v>29000.0</v>
      </c>
      <c r="D18" s="10">
        <f>IF(B18="","",FV($B$5,B18,-$B$4,-$B$3))</f>
        <v>38714.5014060271</v>
      </c>
      <c r="E18" s="10">
        <f>IF(B18="","",D18-C18)</f>
        <v>9714.501406027099</v>
      </c>
    </row>
    <row r="19">
      <c r="A19" s="19" t="n">
        <v>6</v>
      </c>
      <c r="B19" s="19" t="str">
        <f>IF(A19*12&lt;=$B$6,A19*12,"")</f>
        <v/>
      </c>
      <c r="C19" s="10" t="str">
        <f>IF(B19="","",$B$3+$B$4*B19)</f>
        <v/>
      </c>
      <c r="D19" s="10" t="str">
        <f>IF(B19="","",FV($B$5,B19,-$B$4,-$B$3))</f>
        <v/>
      </c>
      <c r="E19" s="10" t="str">
        <f>IF(B19="","",D19-C19)</f>
        <v/>
      </c>
    </row>
    <row r="20">
      <c r="A20" s="19" t="n">
        <v>7</v>
      </c>
      <c r="B20" s="19" t="str">
        <f>IF(A20*12&lt;=$B$6,A20*12,"")</f>
        <v/>
      </c>
      <c r="C20" s="10" t="str">
        <f>IF(B20="","",$B$3+$B$4*B20)</f>
        <v/>
      </c>
      <c r="D20" s="10" t="str">
        <f>IF(B20="","",FV($B$5,B20,-$B$4,-$B$3))</f>
        <v/>
      </c>
      <c r="E20" s="10" t="str">
        <f>IF(B20="","",D20-C20)</f>
        <v/>
      </c>
    </row>
    <row r="21">
      <c r="A21" s="19" t="n">
        <v>8</v>
      </c>
      <c r="B21" s="19" t="str">
        <f>IF(A21*12&lt;=$B$6,A21*12,"")</f>
        <v/>
      </c>
      <c r="C21" s="10" t="str">
        <f>IF(B21="","",$B$3+$B$4*B21)</f>
        <v/>
      </c>
      <c r="D21" s="10" t="str">
        <f>IF(B21="","",FV($B$5,B21,-$B$4,-$B$3))</f>
        <v/>
      </c>
      <c r="E21" s="10" t="str">
        <f>IF(B21="","",D21-C21)</f>
        <v/>
      </c>
    </row>
    <row r="22">
      <c r="A22" s="19" t="n">
        <v>9</v>
      </c>
      <c r="B22" s="19" t="str">
        <f>IF(A22*12&lt;=$B$6,A22*12,"")</f>
        <v/>
      </c>
      <c r="C22" s="10" t="str">
        <f>IF(B22="","",$B$3+$B$4*B22)</f>
        <v/>
      </c>
      <c r="D22" s="10" t="str">
        <f>IF(B22="","",FV($B$5,B22,-$B$4,-$B$3))</f>
        <v/>
      </c>
      <c r="E22" s="10" t="str">
        <f>IF(B22="","",D22-C22)</f>
        <v/>
      </c>
    </row>
    <row r="23">
      <c r="A23" s="19" t="n">
        <v>10</v>
      </c>
      <c r="B23" s="19" t="str">
        <f>IF(A23*12&lt;=$B$6,A23*12,"")</f>
        <v/>
      </c>
      <c r="C23" s="10" t="str">
        <f>IF(B23="","",$B$3+$B$4*B23)</f>
        <v/>
      </c>
      <c r="D23" s="10" t="str">
        <f>IF(B23="","",FV($B$5,B23,-$B$4,-$B$3))</f>
        <v/>
      </c>
      <c r="E23" s="10" t="str">
        <f>IF(B23="","",D23-C23)</f>
        <v/>
      </c>
    </row>
    <row r="24">
      <c r="A24" s="19" t="n">
        <v>11</v>
      </c>
      <c r="B24" s="19" t="str">
        <f>IF(A24*12&lt;=$B$6,A24*12,"")</f>
        <v/>
      </c>
      <c r="C24" s="10" t="str">
        <f>IF(B24="","",$B$3+$B$4*B24)</f>
        <v/>
      </c>
      <c r="D24" s="10" t="str">
        <f>IF(B24="","",FV($B$5,B24,-$B$4,-$B$3))</f>
        <v/>
      </c>
      <c r="E24" s="10" t="str">
        <f>IF(B24="","",D24-C24)</f>
        <v/>
      </c>
    </row>
    <row r="25">
      <c r="A25" s="19" t="n">
        <v>12</v>
      </c>
      <c r="B25" s="19" t="str">
        <f>IF(A25*12&lt;=$B$6,A25*12,"")</f>
        <v/>
      </c>
      <c r="C25" s="10" t="str">
        <f>IF(B25="","",$B$3+$B$4*B25)</f>
        <v/>
      </c>
      <c r="D25" s="10" t="str">
        <f>IF(B25="","",FV($B$5,B25,-$B$4,-$B$3))</f>
        <v/>
      </c>
      <c r="E25" s="10" t="str">
        <f>IF(B25="","",D25-C25)</f>
        <v/>
      </c>
    </row>
    <row r="26">
      <c r="A26" s="19" t="n">
        <v>13</v>
      </c>
      <c r="B26" s="19" t="str">
        <f>IF(A26*12&lt;=$B$6,A26*12,"")</f>
        <v/>
      </c>
      <c r="C26" s="10" t="str">
        <f>IF(B26="","",$B$3+$B$4*B26)</f>
        <v/>
      </c>
      <c r="D26" s="10" t="str">
        <f>IF(B26="","",FV($B$5,B26,-$B$4,-$B$3))</f>
        <v/>
      </c>
      <c r="E26" s="10" t="str">
        <f>IF(B26="","",D26-C26)</f>
        <v/>
      </c>
    </row>
    <row r="27">
      <c r="A27" s="19" t="n">
        <v>14</v>
      </c>
      <c r="B27" s="19" t="str">
        <f>IF(A27*12&lt;=$B$6,A27*12,"")</f>
        <v/>
      </c>
      <c r="C27" s="10" t="str">
        <f>IF(B27="","",$B$3+$B$4*B27)</f>
        <v/>
      </c>
      <c r="D27" s="10" t="str">
        <f>IF(B27="","",FV($B$5,B27,-$B$4,-$B$3))</f>
        <v/>
      </c>
      <c r="E27" s="10" t="str">
        <f>IF(B27="","",D27-C27)</f>
        <v/>
      </c>
    </row>
    <row r="28">
      <c r="A28" s="19" t="n">
        <v>15</v>
      </c>
      <c r="B28" s="19" t="str">
        <f>IF(A28*12&lt;=$B$6,A28*12,"")</f>
        <v/>
      </c>
      <c r="C28" s="10" t="str">
        <f>IF(B28="","",$B$3+$B$4*B28)</f>
        <v/>
      </c>
      <c r="D28" s="10" t="str">
        <f>IF(B28="","",FV($B$5,B28,-$B$4,-$B$3))</f>
        <v/>
      </c>
      <c r="E28" s="10" t="str">
        <f>IF(B28="","",D28-C28)</f>
        <v/>
      </c>
    </row>
    <row r="29">
      <c r="A29" s="19" t="n">
        <v>16</v>
      </c>
      <c r="B29" s="19" t="str">
        <f>IF(A29*12&lt;=$B$6,A29*12,"")</f>
        <v/>
      </c>
      <c r="C29" s="10" t="str">
        <f>IF(B29="","",$B$3+$B$4*B29)</f>
        <v/>
      </c>
      <c r="D29" s="10" t="str">
        <f>IF(B29="","",FV($B$5,B29,-$B$4,-$B$3))</f>
        <v/>
      </c>
      <c r="E29" s="10" t="str">
        <f>IF(B29="","",D29-C29)</f>
        <v/>
      </c>
    </row>
    <row r="30">
      <c r="A30" s="19" t="n">
        <v>17</v>
      </c>
      <c r="B30" s="19" t="str">
        <f>IF(A30*12&lt;=$B$6,A30*12,"")</f>
        <v/>
      </c>
      <c r="C30" s="10" t="str">
        <f>IF(B30="","",$B$3+$B$4*B30)</f>
        <v/>
      </c>
      <c r="D30" s="10" t="str">
        <f>IF(B30="","",FV($B$5,B30,-$B$4,-$B$3))</f>
        <v/>
      </c>
      <c r="E30" s="10" t="str">
        <f>IF(B30="","",D30-C30)</f>
        <v/>
      </c>
    </row>
    <row r="31">
      <c r="A31" s="19" t="n">
        <v>18</v>
      </c>
      <c r="B31" s="19" t="str">
        <f>IF(A31*12&lt;=$B$6,A31*12,"")</f>
        <v/>
      </c>
      <c r="C31" s="10" t="str">
        <f>IF(B31="","",$B$3+$B$4*B31)</f>
        <v/>
      </c>
      <c r="D31" s="10" t="str">
        <f>IF(B31="","",FV($B$5,B31,-$B$4,-$B$3))</f>
        <v/>
      </c>
      <c r="E31" s="10" t="str">
        <f>IF(B31="","",D31-C31)</f>
        <v/>
      </c>
    </row>
    <row r="32">
      <c r="A32" s="19" t="n">
        <v>19</v>
      </c>
      <c r="B32" s="19" t="str">
        <f>IF(A32*12&lt;=$B$6,A32*12,"")</f>
        <v/>
      </c>
      <c r="C32" s="10" t="str">
        <f>IF(B32="","",$B$3+$B$4*B32)</f>
        <v/>
      </c>
      <c r="D32" s="10" t="str">
        <f>IF(B32="","",FV($B$5,B32,-$B$4,-$B$3))</f>
        <v/>
      </c>
      <c r="E32" s="10" t="str">
        <f>IF(B32="","",D32-C32)</f>
        <v/>
      </c>
    </row>
    <row r="33">
      <c r="A33" s="19" t="n">
        <v>20</v>
      </c>
      <c r="B33" s="19" t="str">
        <f>IF(A33*12&lt;=$B$6,A33*12,"")</f>
        <v/>
      </c>
      <c r="C33" s="10" t="str">
        <f>IF(B33="","",$B$3+$B$4*B33)</f>
        <v/>
      </c>
      <c r="D33" s="10" t="str">
        <f>IF(B33="","",FV($B$5,B33,-$B$4,-$B$3))</f>
        <v/>
      </c>
      <c r="E33" s="10" t="str">
        <f>IF(B33="","",D33-C33)</f>
        <v/>
      </c>
    </row>
    <row r="34">
      <c r="A34" s="19" t="n">
        <v>21</v>
      </c>
      <c r="B34" s="19" t="str">
        <f>IF(A34*12&lt;=$B$6,A34*12,"")</f>
        <v/>
      </c>
      <c r="C34" s="10" t="str">
        <f>IF(B34="","",$B$3+$B$4*B34)</f>
        <v/>
      </c>
      <c r="D34" s="10" t="str">
        <f>IF(B34="","",FV($B$5,B34,-$B$4,-$B$3))</f>
        <v/>
      </c>
      <c r="E34" s="10" t="str">
        <f>IF(B34="","",D34-C34)</f>
        <v/>
      </c>
    </row>
    <row r="35">
      <c r="A35" s="19" t="n">
        <v>22</v>
      </c>
      <c r="B35" s="19" t="str">
        <f>IF(A35*12&lt;=$B$6,A35*12,"")</f>
        <v/>
      </c>
      <c r="C35" s="10" t="str">
        <f>IF(B35="","",$B$3+$B$4*B35)</f>
        <v/>
      </c>
      <c r="D35" s="10" t="str">
        <f>IF(B35="","",FV($B$5,B35,-$B$4,-$B$3))</f>
        <v/>
      </c>
      <c r="E35" s="10" t="str">
        <f>IF(B35="","",D35-C35)</f>
        <v/>
      </c>
    </row>
    <row r="36">
      <c r="A36" s="19" t="n">
        <v>23</v>
      </c>
      <c r="B36" s="19" t="str">
        <f>IF(A36*12&lt;=$B$6,A36*12,"")</f>
        <v/>
      </c>
      <c r="C36" s="10" t="str">
        <f>IF(B36="","",$B$3+$B$4*B36)</f>
        <v/>
      </c>
      <c r="D36" s="10" t="str">
        <f>IF(B36="","",FV($B$5,B36,-$B$4,-$B$3))</f>
        <v/>
      </c>
      <c r="E36" s="10" t="str">
        <f>IF(B36="","",D36-C36)</f>
        <v/>
      </c>
    </row>
    <row r="37">
      <c r="A37" s="19" t="n">
        <v>24</v>
      </c>
      <c r="B37" s="19" t="str">
        <f>IF(A37*12&lt;=$B$6,A37*12,"")</f>
        <v/>
      </c>
      <c r="C37" s="10" t="str">
        <f>IF(B37="","",$B$3+$B$4*B37)</f>
        <v/>
      </c>
      <c r="D37" s="10" t="str">
        <f>IF(B37="","",FV($B$5,B37,-$B$4,-$B$3))</f>
        <v/>
      </c>
      <c r="E37" s="10" t="str">
        <f>IF(B37="","",D37-C37)</f>
        <v/>
      </c>
    </row>
    <row r="38">
      <c r="A38" s="19" t="n">
        <v>25</v>
      </c>
      <c r="B38" s="19" t="str">
        <f>IF(A38*12&lt;=$B$6,A38*12,"")</f>
        <v/>
      </c>
      <c r="C38" s="10" t="str">
        <f>IF(B38="","",$B$3+$B$4*B38)</f>
        <v/>
      </c>
      <c r="D38" s="10" t="str">
        <f>IF(B38="","",FV($B$5,B38,-$B$4,-$B$3))</f>
        <v/>
      </c>
      <c r="E38" s="10" t="str">
        <f>IF(B38="","",D38-C38)</f>
        <v/>
      </c>
    </row>
    <row r="39">
      <c r="A39" s="19" t="n">
        <v>26</v>
      </c>
      <c r="B39" s="19" t="str">
        <f>IF(A39*12&lt;=$B$6,A39*12,"")</f>
        <v/>
      </c>
      <c r="C39" s="10" t="str">
        <f>IF(B39="","",$B$3+$B$4*B39)</f>
        <v/>
      </c>
      <c r="D39" s="10" t="str">
        <f>IF(B39="","",FV($B$5,B39,-$B$4,-$B$3))</f>
        <v/>
      </c>
      <c r="E39" s="10" t="str">
        <f>IF(B39="","",D39-C39)</f>
        <v/>
      </c>
    </row>
    <row r="40">
      <c r="A40" s="19" t="n">
        <v>27</v>
      </c>
      <c r="B40" s="19" t="str">
        <f>IF(A40*12&lt;=$B$6,A40*12,"")</f>
        <v/>
      </c>
      <c r="C40" s="10" t="str">
        <f>IF(B40="","",$B$3+$B$4*B40)</f>
        <v/>
      </c>
      <c r="D40" s="10" t="str">
        <f>IF(B40="","",FV($B$5,B40,-$B$4,-$B$3))</f>
        <v/>
      </c>
      <c r="E40" s="10" t="str">
        <f>IF(B40="","",D40-C40)</f>
        <v/>
      </c>
    </row>
    <row r="41">
      <c r="A41" s="19" t="n">
        <v>28</v>
      </c>
      <c r="B41" s="19" t="str">
        <f>IF(A41*12&lt;=$B$6,A41*12,"")</f>
        <v/>
      </c>
      <c r="C41" s="10" t="str">
        <f>IF(B41="","",$B$3+$B$4*B41)</f>
        <v/>
      </c>
      <c r="D41" s="10" t="str">
        <f>IF(B41="","",FV($B$5,B41,-$B$4,-$B$3))</f>
        <v/>
      </c>
      <c r="E41" s="10" t="str">
        <f>IF(B41="","",D41-C41)</f>
        <v/>
      </c>
    </row>
    <row r="42">
      <c r="A42" s="19" t="n">
        <v>29</v>
      </c>
      <c r="B42" s="19" t="str">
        <f>IF(A42*12&lt;=$B$6,A42*12,"")</f>
        <v/>
      </c>
      <c r="C42" s="10" t="str">
        <f>IF(B42="","",$B$3+$B$4*B42)</f>
        <v/>
      </c>
      <c r="D42" s="10" t="str">
        <f>IF(B42="","",FV($B$5,B42,-$B$4,-$B$3))</f>
        <v/>
      </c>
      <c r="E42" s="10" t="str">
        <f>IF(B42="","",D42-C42)</f>
        <v/>
      </c>
    </row>
    <row r="43">
      <c r="A43" s="19" t="n">
        <v>30</v>
      </c>
      <c r="B43" s="19" t="str">
        <f>IF(A43*12&lt;=$B$6,A43*12,"")</f>
        <v/>
      </c>
      <c r="C43" s="10" t="str">
        <f>IF(B43="","",$B$3+$B$4*B43)</f>
        <v/>
      </c>
      <c r="D43" s="10" t="str">
        <f>IF(B43="","",FV($B$5,B43,-$B$4,-$B$3))</f>
        <v/>
      </c>
      <c r="E43" s="10" t="str">
        <f>IF(B43="","",D43-C43)</f>
        <v/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12" t="n">
        <v>1</v>
      </c>
      <c r="B3" s="21" t="inlineStr">
        <is>
          <t>Na aba Comparador, digite valor do bem, entrada, juros ao mês, prazo, sistema (Price ou SAC) e tarifas de cada proposta. Dá para comparar três ao mesmo tempo.</t>
        </is>
      </c>
    </row>
    <row r="4" ht="32" customHeight="1">
      <c r="A4" s="12" t="n">
        <v>2</v>
      </c>
      <c r="B4" s="21" t="inlineStr">
        <is>
          <t>A planilha mostra a primeira e a última parcela, o total pago em parcelas, os juros totais e o custo total. A proposta de menor custo total fica em verde.</t>
        </is>
      </c>
    </row>
    <row r="5" ht="32" customHeight="1">
      <c r="A5" s="12" t="n">
        <v>3</v>
      </c>
      <c r="B5" s="21" t="inlineStr">
        <is>
          <t>No Price as parcelas são iguais. No SAC a amortização é igual e as parcelas começam maiores e diminuem a cada mês.</t>
        </is>
      </c>
    </row>
    <row r="6" ht="18" customHeight="1">
      <c r="A6" s="12" t="n">
        <v>4</v>
      </c>
      <c r="B6" s="21" t="inlineStr">
        <is>
          <t>Informe sua renda mensal para ver quanto a primeira parcela pesa nela.</t>
        </is>
      </c>
    </row>
    <row r="7" ht="32" customHeight="1">
      <c r="A7" s="12" t="n">
        <v>5</v>
      </c>
      <c r="B7" s="21" t="inlineStr">
        <is>
          <t>Na aba Amortização, escolha a proposta (A, B ou C) e veja mês a mês quanto vai para juros e quanto abate o saldo. O saldo final deve fechar em zero.</t>
        </is>
      </c>
    </row>
    <row r="8" ht="32" customHeight="1">
      <c r="A8" s="12" t="n">
        <v>6</v>
      </c>
      <c r="B8" s="21" t="inlineStr">
        <is>
          <t>Na aba Juros compostos, simule um investimento com aporte mensal. A taxa ao mês é a que você digitar: esta planilha não busca taxas de mercado.</t>
        </is>
      </c>
    </row>
    <row r="9" ht="32" customHeight="1">
      <c r="A9" s="12" t="n">
        <v>7</v>
      </c>
      <c r="B9" s="21" t="inlineStr">
        <is>
          <t>Taxas e encargos reais variam; peça o CET (custo efetivo total) por escrito à instituição antes de decidir.</t>
        </is>
      </c>
    </row>
    <row r="10"/>
    <row r="11">
      <c r="B11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Comparador de financiamento e juros compostos</dc:title>
  <dc:description>Compara até 3 propostas de financiamento (Price ou SAC), mostra parcela, juros e custo total, tabela de amortização e simulador de juros compostos.</dc:description>
  <dcterms:created xsi:type="dcterms:W3CDTF">2026-10-21T15:56:14Z</dcterms:created>
  <dcterms:modified xsi:type="dcterms:W3CDTF">2026-10-21T15:56:15Z</dcterms:modified>
  <cp:keywords>modelo, planilha, Excel na prática</cp:keywords>
</cp:coreProperties>
</file>