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ário 2027" sheetId="1" state="visible" r:id="rId1"/>
    <sheet name="Como usar" sheetId="2" state="visible" r:id="rId2"/>
  </sheets>
  <definedNames>
    <definedName name="_xlnm.Print_Area" localSheetId="0">'Calendário 2027'!$A$1:$U$41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  <font>
      <name val="Calibri"/>
      <b val="1"/>
      <color rgb="001B2A4A"/>
      <sz val="12"/>
    </font>
    <font>
      <name val="Calibri"/>
      <color rgb="008A8F98"/>
      <sz val="9"/>
    </font>
  </fonts>
  <fills count="5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1B2A4A"/>
      </patternFill>
    </fill>
    <fill>
      <patternFill patternType="solid">
        <fgColor rgb="00F3F1EA"/>
      </patternFill>
    </fill>
  </fills>
  <borders count="2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4" fillId="2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165" fontId="0" fillId="0" borderId="0" pivotButton="0" quotePrefix="0" xfId="0"/>
    <xf numFmtId="0" fontId="3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pivotButton="0" quotePrefix="0" xfId="0"/>
    <xf numFmtId="164" fontId="4" fillId="0" borderId="1" applyAlignment="1" pivotButton="0" quotePrefix="0" xfId="0">
      <alignment horizontal="center"/>
    </xf>
    <xf numFmtId="0" fontId="2" fillId="0" borderId="0" applyAlignment="1" pivotButton="0" quotePrefix="0" xfId="0">
      <alignment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8FD6A4"/>
          <bgColor rgb="008FD6A4"/>
        </patternFill>
      </fill>
    </dxf>
    <dxf>
      <fill>
        <patternFill patternType="solid">
          <fgColor rgb="00FFE59A"/>
          <bgColor rgb="00FFE59A"/>
        </patternFill>
      </fill>
    </dxf>
    <dxf>
      <fill>
        <patternFill patternType="solid">
          <fgColor rgb="00E4E8F0"/>
          <bgColor rgb="00E4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AD59"/>
  <sheetViews>
    <sheetView showGridLines="0" zoomScale="9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3" customWidth="1" min="22" max="22"/>
    <col width="3" customWidth="1" min="23" max="23"/>
    <col width="12" customWidth="1" min="24" max="24"/>
    <col width="11" customWidth="1" min="25" max="25"/>
    <col width="34" customWidth="1" min="26" max="26"/>
    <col width="34" customWidth="1" min="27" max="27"/>
    <col width="11" customWidth="1" min="29" max="29"/>
    <col width="14" customWidth="1" min="30" max="30"/>
  </cols>
  <sheetData>
    <row r="1" ht="28" customHeight="1">
      <c r="A1" s="1" t="inlineStr">
        <is>
          <t>Calendário 2027</t>
        </is>
      </c>
    </row>
    <row r="2">
      <c r="A2" s="2" t="inlineStr">
        <is>
          <t>Feriados nacionais em verde. Fins de semana em cinza. Altere o ano na célula amarela e o calendário inteiro se refaz.</t>
        </is>
      </c>
    </row>
    <row r="3">
      <c r="A3" s="3" t="inlineStr">
        <is>
          <t>Ano</t>
        </is>
      </c>
      <c r="B3" s="4" t="n">
        <v>2027</v>
      </c>
    </row>
    <row r="4">
      <c r="X4" s="5" t="inlineStr">
        <is>
          <t>Feriados nacionais (lei federal)</t>
        </is>
      </c>
      <c r="AC4" s="3" t="inlineStr">
        <is>
          <t>Páscoa</t>
        </is>
      </c>
      <c r="AD4" s="6" t="inlineStr">
        <is>
          <t>Cálculo da Páscoa (calendário gregoriano). Datas móveis partem dela.</t>
        </is>
      </c>
    </row>
    <row r="5" ht="20" customHeight="1">
      <c r="A5" s="7" t="inlineStr">
        <is>
          <t>Janeiro</t>
        </is>
      </c>
      <c r="H5" s="7" t="inlineStr">
        <is>
          <t>Fevereiro</t>
        </is>
      </c>
      <c r="O5" s="7" t="inlineStr">
        <is>
          <t>Março</t>
        </is>
      </c>
      <c r="X5" s="8" t="inlineStr">
        <is>
          <t>Data</t>
        </is>
      </c>
      <c r="Y5" s="8" t="inlineStr">
        <is>
          <t>Dia</t>
        </is>
      </c>
      <c r="Z5" s="8" t="inlineStr">
        <is>
          <t>Feriado</t>
        </is>
      </c>
      <c r="AA5" s="8" t="inlineStr">
        <is>
          <t>Base legal</t>
        </is>
      </c>
      <c r="AC5" s="9">
        <f>DATE($B$3,INT((AC13+AC16-7*AC17+114)/31),MOD(AC13+AC16-7*AC17+114,31)+1)</f>
        <v>46474</v>
      </c>
    </row>
    <row r="6">
      <c r="A6" s="10" t="inlineStr">
        <is>
          <t>D</t>
        </is>
      </c>
      <c r="B6" s="10" t="inlineStr">
        <is>
          <t>S</t>
        </is>
      </c>
      <c r="C6" s="10" t="inlineStr">
        <is>
          <t>T</t>
        </is>
      </c>
      <c r="D6" s="10" t="inlineStr">
        <is>
          <t>Q</t>
        </is>
      </c>
      <c r="E6" s="10" t="inlineStr">
        <is>
          <t>Q</t>
        </is>
      </c>
      <c r="F6" s="10" t="inlineStr">
        <is>
          <t>S</t>
        </is>
      </c>
      <c r="G6" s="10" t="inlineStr">
        <is>
          <t>S</t>
        </is>
      </c>
      <c r="H6" s="10" t="inlineStr">
        <is>
          <t>D</t>
        </is>
      </c>
      <c r="I6" s="10" t="inlineStr">
        <is>
          <t>S</t>
        </is>
      </c>
      <c r="J6" s="10" t="inlineStr">
        <is>
          <t>T</t>
        </is>
      </c>
      <c r="K6" s="10" t="inlineStr">
        <is>
          <t>Q</t>
        </is>
      </c>
      <c r="L6" s="10" t="inlineStr">
        <is>
          <t>Q</t>
        </is>
      </c>
      <c r="M6" s="10" t="inlineStr">
        <is>
          <t>S</t>
        </is>
      </c>
      <c r="N6" s="10" t="inlineStr">
        <is>
          <t>S</t>
        </is>
      </c>
      <c r="O6" s="10" t="inlineStr">
        <is>
          <t>D</t>
        </is>
      </c>
      <c r="P6" s="10" t="inlineStr">
        <is>
          <t>S</t>
        </is>
      </c>
      <c r="Q6" s="10" t="inlineStr">
        <is>
          <t>T</t>
        </is>
      </c>
      <c r="R6" s="10" t="inlineStr">
        <is>
          <t>Q</t>
        </is>
      </c>
      <c r="S6" s="10" t="inlineStr">
        <is>
          <t>Q</t>
        </is>
      </c>
      <c r="T6" s="10" t="inlineStr">
        <is>
          <t>S</t>
        </is>
      </c>
      <c r="U6" s="10" t="inlineStr">
        <is>
          <t>S</t>
        </is>
      </c>
      <c r="X6" s="11">
        <f>DATE($B$3,1,1)</f>
        <v>46388</v>
      </c>
      <c r="Y6" s="12" t="str">
        <f>CHOOSE(WEEKDAY(X6,1),"domingo","segunda","terça","quarta","quinta","sexta","sábado")</f>
        <v>sexta</v>
      </c>
      <c r="Z6" s="13" t="inlineStr">
        <is>
          <t>Confraternização Universal</t>
        </is>
      </c>
      <c r="AA6" s="13" t="inlineStr">
        <is>
          <t>Lei 662/1949</t>
        </is>
      </c>
      <c r="AC6" s="6">
        <f>MOD($B$3,19)</f>
        <v>13.0</v>
      </c>
      <c r="AD6" s="6" t="inlineStr">
        <is>
          <t>ano mod 19</t>
        </is>
      </c>
    </row>
    <row r="7">
      <c r="A7" s="14" t="str">
        <f>IF(MONTH(DATE($B$3,1,1)-WEEKDAY(DATE($B$3,1,1),1)+1+0)=1,DATE($B$3,1,1)-WEEKDAY(DATE($B$3,1,1),1)+1+0,"")</f>
        <v/>
      </c>
      <c r="B7" s="14" t="str">
        <f>IF(MONTH(DATE($B$3,1,1)-WEEKDAY(DATE($B$3,1,1),1)+1+1)=1,DATE($B$3,1,1)-WEEKDAY(DATE($B$3,1,1),1)+1+1,"")</f>
        <v/>
      </c>
      <c r="C7" s="14" t="str">
        <f>IF(MONTH(DATE($B$3,1,1)-WEEKDAY(DATE($B$3,1,1),1)+1+2)=1,DATE($B$3,1,1)-WEEKDAY(DATE($B$3,1,1),1)+1+2,"")</f>
        <v/>
      </c>
      <c r="D7" s="14" t="str">
        <f>IF(MONTH(DATE($B$3,1,1)-WEEKDAY(DATE($B$3,1,1),1)+1+3)=1,DATE($B$3,1,1)-WEEKDAY(DATE($B$3,1,1),1)+1+3,"")</f>
        <v/>
      </c>
      <c r="E7" s="14" t="str">
        <f>IF(MONTH(DATE($B$3,1,1)-WEEKDAY(DATE($B$3,1,1),1)+1+4)=1,DATE($B$3,1,1)-WEEKDAY(DATE($B$3,1,1),1)+1+4,"")</f>
        <v/>
      </c>
      <c r="F7" s="14">
        <f>IF(MONTH(DATE($B$3,1,1)-WEEKDAY(DATE($B$3,1,1),1)+1+5)=1,DATE($B$3,1,1)-WEEKDAY(DATE($B$3,1,1),1)+1+5,"")</f>
        <v>46388.0</v>
      </c>
      <c r="G7" s="14">
        <f>IF(MONTH(DATE($B$3,1,1)-WEEKDAY(DATE($B$3,1,1),1)+1+6)=1,DATE($B$3,1,1)-WEEKDAY(DATE($B$3,1,1),1)+1+6,"")</f>
        <v>46389.0</v>
      </c>
      <c r="H7" s="14" t="str">
        <f>IF(MONTH(DATE($B$3,2,1)-WEEKDAY(DATE($B$3,2,1),1)+1+0)=2,DATE($B$3,2,1)-WEEKDAY(DATE($B$3,2,1),1)+1+0,"")</f>
        <v/>
      </c>
      <c r="I7" s="14">
        <f>IF(MONTH(DATE($B$3,2,1)-WEEKDAY(DATE($B$3,2,1),1)+1+1)=2,DATE($B$3,2,1)-WEEKDAY(DATE($B$3,2,1),1)+1+1,"")</f>
        <v>46419.0</v>
      </c>
      <c r="J7" s="14">
        <f>IF(MONTH(DATE($B$3,2,1)-WEEKDAY(DATE($B$3,2,1),1)+1+2)=2,DATE($B$3,2,1)-WEEKDAY(DATE($B$3,2,1),1)+1+2,"")</f>
        <v>46420.0</v>
      </c>
      <c r="K7" s="14">
        <f>IF(MONTH(DATE($B$3,2,1)-WEEKDAY(DATE($B$3,2,1),1)+1+3)=2,DATE($B$3,2,1)-WEEKDAY(DATE($B$3,2,1),1)+1+3,"")</f>
        <v>46421.0</v>
      </c>
      <c r="L7" s="14">
        <f>IF(MONTH(DATE($B$3,2,1)-WEEKDAY(DATE($B$3,2,1),1)+1+4)=2,DATE($B$3,2,1)-WEEKDAY(DATE($B$3,2,1),1)+1+4,"")</f>
        <v>46422.0</v>
      </c>
      <c r="M7" s="14">
        <f>IF(MONTH(DATE($B$3,2,1)-WEEKDAY(DATE($B$3,2,1),1)+1+5)=2,DATE($B$3,2,1)-WEEKDAY(DATE($B$3,2,1),1)+1+5,"")</f>
        <v>46423.0</v>
      </c>
      <c r="N7" s="14">
        <f>IF(MONTH(DATE($B$3,2,1)-WEEKDAY(DATE($B$3,2,1),1)+1+6)=2,DATE($B$3,2,1)-WEEKDAY(DATE($B$3,2,1),1)+1+6,"")</f>
        <v>46424.0</v>
      </c>
      <c r="O7" s="14" t="str">
        <f>IF(MONTH(DATE($B$3,3,1)-WEEKDAY(DATE($B$3,3,1),1)+1+0)=3,DATE($B$3,3,1)-WEEKDAY(DATE($B$3,3,1),1)+1+0,"")</f>
        <v/>
      </c>
      <c r="P7" s="14">
        <f>IF(MONTH(DATE($B$3,3,1)-WEEKDAY(DATE($B$3,3,1),1)+1+1)=3,DATE($B$3,3,1)-WEEKDAY(DATE($B$3,3,1),1)+1+1,"")</f>
        <v>46447.0</v>
      </c>
      <c r="Q7" s="14">
        <f>IF(MONTH(DATE($B$3,3,1)-WEEKDAY(DATE($B$3,3,1),1)+1+2)=3,DATE($B$3,3,1)-WEEKDAY(DATE($B$3,3,1),1)+1+2,"")</f>
        <v>46448.0</v>
      </c>
      <c r="R7" s="14">
        <f>IF(MONTH(DATE($B$3,3,1)-WEEKDAY(DATE($B$3,3,1),1)+1+3)=3,DATE($B$3,3,1)-WEEKDAY(DATE($B$3,3,1),1)+1+3,"")</f>
        <v>46449.0</v>
      </c>
      <c r="S7" s="14">
        <f>IF(MONTH(DATE($B$3,3,1)-WEEKDAY(DATE($B$3,3,1),1)+1+4)=3,DATE($B$3,3,1)-WEEKDAY(DATE($B$3,3,1),1)+1+4,"")</f>
        <v>46450.0</v>
      </c>
      <c r="T7" s="14">
        <f>IF(MONTH(DATE($B$3,3,1)-WEEKDAY(DATE($B$3,3,1),1)+1+5)=3,DATE($B$3,3,1)-WEEKDAY(DATE($B$3,3,1),1)+1+5,"")</f>
        <v>46451.0</v>
      </c>
      <c r="U7" s="14">
        <f>IF(MONTH(DATE($B$3,3,1)-WEEKDAY(DATE($B$3,3,1),1)+1+6)=3,DATE($B$3,3,1)-WEEKDAY(DATE($B$3,3,1),1)+1+6,"")</f>
        <v>46452.0</v>
      </c>
      <c r="X7" s="11">
        <f>DATE($B$3,4,21)</f>
        <v>46498</v>
      </c>
      <c r="Y7" s="12" t="str">
        <f>CHOOSE(WEEKDAY(X7,1),"domingo","segunda","terça","quarta","quinta","sexta","sábado")</f>
        <v>quarta</v>
      </c>
      <c r="Z7" s="13" t="inlineStr">
        <is>
          <t>Tiradentes</t>
        </is>
      </c>
      <c r="AA7" s="13" t="inlineStr">
        <is>
          <t>Lei 662/1949</t>
        </is>
      </c>
      <c r="AC7" s="6">
        <f>INT($B$3/100)</f>
        <v>20</v>
      </c>
      <c r="AD7" s="6" t="inlineStr">
        <is>
          <t>século</t>
        </is>
      </c>
    </row>
    <row r="8">
      <c r="A8" s="14">
        <f>IF(MONTH(DATE($B$3,1,1)-WEEKDAY(DATE($B$3,1,1),1)+1+7)=1,DATE($B$3,1,1)-WEEKDAY(DATE($B$3,1,1),1)+1+7,"")</f>
        <v>46390.0</v>
      </c>
      <c r="B8" s="14">
        <f>IF(MONTH(DATE($B$3,1,1)-WEEKDAY(DATE($B$3,1,1),1)+1+8)=1,DATE($B$3,1,1)-WEEKDAY(DATE($B$3,1,1),1)+1+8,"")</f>
        <v>46391.0</v>
      </c>
      <c r="C8" s="14">
        <f>IF(MONTH(DATE($B$3,1,1)-WEEKDAY(DATE($B$3,1,1),1)+1+9)=1,DATE($B$3,1,1)-WEEKDAY(DATE($B$3,1,1),1)+1+9,"")</f>
        <v>46392.0</v>
      </c>
      <c r="D8" s="14">
        <f>IF(MONTH(DATE($B$3,1,1)-WEEKDAY(DATE($B$3,1,1),1)+1+10)=1,DATE($B$3,1,1)-WEEKDAY(DATE($B$3,1,1),1)+1+10,"")</f>
        <v>46393.0</v>
      </c>
      <c r="E8" s="14">
        <f>IF(MONTH(DATE($B$3,1,1)-WEEKDAY(DATE($B$3,1,1),1)+1+11)=1,DATE($B$3,1,1)-WEEKDAY(DATE($B$3,1,1),1)+1+11,"")</f>
        <v>46394.0</v>
      </c>
      <c r="F8" s="14">
        <f>IF(MONTH(DATE($B$3,1,1)-WEEKDAY(DATE($B$3,1,1),1)+1+12)=1,DATE($B$3,1,1)-WEEKDAY(DATE($B$3,1,1),1)+1+12,"")</f>
        <v>46395.0</v>
      </c>
      <c r="G8" s="14">
        <f>IF(MONTH(DATE($B$3,1,1)-WEEKDAY(DATE($B$3,1,1),1)+1+13)=1,DATE($B$3,1,1)-WEEKDAY(DATE($B$3,1,1),1)+1+13,"")</f>
        <v>46396.0</v>
      </c>
      <c r="H8" s="14">
        <f>IF(MONTH(DATE($B$3,2,1)-WEEKDAY(DATE($B$3,2,1),1)+1+7)=2,DATE($B$3,2,1)-WEEKDAY(DATE($B$3,2,1),1)+1+7,"")</f>
        <v>46425.0</v>
      </c>
      <c r="I8" s="14">
        <f>IF(MONTH(DATE($B$3,2,1)-WEEKDAY(DATE($B$3,2,1),1)+1+8)=2,DATE($B$3,2,1)-WEEKDAY(DATE($B$3,2,1),1)+1+8,"")</f>
        <v>46426.0</v>
      </c>
      <c r="J8" s="14">
        <f>IF(MONTH(DATE($B$3,2,1)-WEEKDAY(DATE($B$3,2,1),1)+1+9)=2,DATE($B$3,2,1)-WEEKDAY(DATE($B$3,2,1),1)+1+9,"")</f>
        <v>46427.0</v>
      </c>
      <c r="K8" s="14">
        <f>IF(MONTH(DATE($B$3,2,1)-WEEKDAY(DATE($B$3,2,1),1)+1+10)=2,DATE($B$3,2,1)-WEEKDAY(DATE($B$3,2,1),1)+1+10,"")</f>
        <v>46428.0</v>
      </c>
      <c r="L8" s="14">
        <f>IF(MONTH(DATE($B$3,2,1)-WEEKDAY(DATE($B$3,2,1),1)+1+11)=2,DATE($B$3,2,1)-WEEKDAY(DATE($B$3,2,1),1)+1+11,"")</f>
        <v>46429.0</v>
      </c>
      <c r="M8" s="14">
        <f>IF(MONTH(DATE($B$3,2,1)-WEEKDAY(DATE($B$3,2,1),1)+1+12)=2,DATE($B$3,2,1)-WEEKDAY(DATE($B$3,2,1),1)+1+12,"")</f>
        <v>46430.0</v>
      </c>
      <c r="N8" s="14">
        <f>IF(MONTH(DATE($B$3,2,1)-WEEKDAY(DATE($B$3,2,1),1)+1+13)=2,DATE($B$3,2,1)-WEEKDAY(DATE($B$3,2,1),1)+1+13,"")</f>
        <v>46431.0</v>
      </c>
      <c r="O8" s="14">
        <f>IF(MONTH(DATE($B$3,3,1)-WEEKDAY(DATE($B$3,3,1),1)+1+7)=3,DATE($B$3,3,1)-WEEKDAY(DATE($B$3,3,1),1)+1+7,"")</f>
        <v>46453.0</v>
      </c>
      <c r="P8" s="14">
        <f>IF(MONTH(DATE($B$3,3,1)-WEEKDAY(DATE($B$3,3,1),1)+1+8)=3,DATE($B$3,3,1)-WEEKDAY(DATE($B$3,3,1),1)+1+8,"")</f>
        <v>46454.0</v>
      </c>
      <c r="Q8" s="14">
        <f>IF(MONTH(DATE($B$3,3,1)-WEEKDAY(DATE($B$3,3,1),1)+1+9)=3,DATE($B$3,3,1)-WEEKDAY(DATE($B$3,3,1),1)+1+9,"")</f>
        <v>46455.0</v>
      </c>
      <c r="R8" s="14">
        <f>IF(MONTH(DATE($B$3,3,1)-WEEKDAY(DATE($B$3,3,1),1)+1+10)=3,DATE($B$3,3,1)-WEEKDAY(DATE($B$3,3,1),1)+1+10,"")</f>
        <v>46456.0</v>
      </c>
      <c r="S8" s="14">
        <f>IF(MONTH(DATE($B$3,3,1)-WEEKDAY(DATE($B$3,3,1),1)+1+11)=3,DATE($B$3,3,1)-WEEKDAY(DATE($B$3,3,1),1)+1+11,"")</f>
        <v>46457.0</v>
      </c>
      <c r="T8" s="14">
        <f>IF(MONTH(DATE($B$3,3,1)-WEEKDAY(DATE($B$3,3,1),1)+1+12)=3,DATE($B$3,3,1)-WEEKDAY(DATE($B$3,3,1),1)+1+12,"")</f>
        <v>46458.0</v>
      </c>
      <c r="U8" s="14">
        <f>IF(MONTH(DATE($B$3,3,1)-WEEKDAY(DATE($B$3,3,1),1)+1+13)=3,DATE($B$3,3,1)-WEEKDAY(DATE($B$3,3,1),1)+1+13,"")</f>
        <v>46459.0</v>
      </c>
      <c r="X8" s="11">
        <f>DATE($B$3,5,1)</f>
        <v>46508</v>
      </c>
      <c r="Y8" s="12" t="str">
        <f>CHOOSE(WEEKDAY(X8,1),"domingo","segunda","terça","quarta","quinta","sexta","sábado")</f>
        <v>sábado</v>
      </c>
      <c r="Z8" s="13" t="inlineStr">
        <is>
          <t>Dia do Trabalho</t>
        </is>
      </c>
      <c r="AA8" s="13" t="inlineStr">
        <is>
          <t>Lei 662/1949</t>
        </is>
      </c>
      <c r="AC8" s="6">
        <f>MOD($B$3,100)</f>
        <v>27.0</v>
      </c>
      <c r="AD8" s="6" t="inlineStr">
        <is>
          <t>ano do século</t>
        </is>
      </c>
    </row>
    <row r="9">
      <c r="A9" s="14">
        <f>IF(MONTH(DATE($B$3,1,1)-WEEKDAY(DATE($B$3,1,1),1)+1+14)=1,DATE($B$3,1,1)-WEEKDAY(DATE($B$3,1,1),1)+1+14,"")</f>
        <v>46397.0</v>
      </c>
      <c r="B9" s="14">
        <f>IF(MONTH(DATE($B$3,1,1)-WEEKDAY(DATE($B$3,1,1),1)+1+15)=1,DATE($B$3,1,1)-WEEKDAY(DATE($B$3,1,1),1)+1+15,"")</f>
        <v>46398.0</v>
      </c>
      <c r="C9" s="14">
        <f>IF(MONTH(DATE($B$3,1,1)-WEEKDAY(DATE($B$3,1,1),1)+1+16)=1,DATE($B$3,1,1)-WEEKDAY(DATE($B$3,1,1),1)+1+16,"")</f>
        <v>46399.0</v>
      </c>
      <c r="D9" s="14">
        <f>IF(MONTH(DATE($B$3,1,1)-WEEKDAY(DATE($B$3,1,1),1)+1+17)=1,DATE($B$3,1,1)-WEEKDAY(DATE($B$3,1,1),1)+1+17,"")</f>
        <v>46400.0</v>
      </c>
      <c r="E9" s="14">
        <f>IF(MONTH(DATE($B$3,1,1)-WEEKDAY(DATE($B$3,1,1),1)+1+18)=1,DATE($B$3,1,1)-WEEKDAY(DATE($B$3,1,1),1)+1+18,"")</f>
        <v>46401.0</v>
      </c>
      <c r="F9" s="14">
        <f>IF(MONTH(DATE($B$3,1,1)-WEEKDAY(DATE($B$3,1,1),1)+1+19)=1,DATE($B$3,1,1)-WEEKDAY(DATE($B$3,1,1),1)+1+19,"")</f>
        <v>46402.0</v>
      </c>
      <c r="G9" s="14">
        <f>IF(MONTH(DATE($B$3,1,1)-WEEKDAY(DATE($B$3,1,1),1)+1+20)=1,DATE($B$3,1,1)-WEEKDAY(DATE($B$3,1,1),1)+1+20,"")</f>
        <v>46403.0</v>
      </c>
      <c r="H9" s="14">
        <f>IF(MONTH(DATE($B$3,2,1)-WEEKDAY(DATE($B$3,2,1),1)+1+14)=2,DATE($B$3,2,1)-WEEKDAY(DATE($B$3,2,1),1)+1+14,"")</f>
        <v>46432.0</v>
      </c>
      <c r="I9" s="14">
        <f>IF(MONTH(DATE($B$3,2,1)-WEEKDAY(DATE($B$3,2,1),1)+1+15)=2,DATE($B$3,2,1)-WEEKDAY(DATE($B$3,2,1),1)+1+15,"")</f>
        <v>46433.0</v>
      </c>
      <c r="J9" s="14">
        <f>IF(MONTH(DATE($B$3,2,1)-WEEKDAY(DATE($B$3,2,1),1)+1+16)=2,DATE($B$3,2,1)-WEEKDAY(DATE($B$3,2,1),1)+1+16,"")</f>
        <v>46434.0</v>
      </c>
      <c r="K9" s="14">
        <f>IF(MONTH(DATE($B$3,2,1)-WEEKDAY(DATE($B$3,2,1),1)+1+17)=2,DATE($B$3,2,1)-WEEKDAY(DATE($B$3,2,1),1)+1+17,"")</f>
        <v>46435.0</v>
      </c>
      <c r="L9" s="14">
        <f>IF(MONTH(DATE($B$3,2,1)-WEEKDAY(DATE($B$3,2,1),1)+1+18)=2,DATE($B$3,2,1)-WEEKDAY(DATE($B$3,2,1),1)+1+18,"")</f>
        <v>46436.0</v>
      </c>
      <c r="M9" s="14">
        <f>IF(MONTH(DATE($B$3,2,1)-WEEKDAY(DATE($B$3,2,1),1)+1+19)=2,DATE($B$3,2,1)-WEEKDAY(DATE($B$3,2,1),1)+1+19,"")</f>
        <v>46437.0</v>
      </c>
      <c r="N9" s="14">
        <f>IF(MONTH(DATE($B$3,2,1)-WEEKDAY(DATE($B$3,2,1),1)+1+20)=2,DATE($B$3,2,1)-WEEKDAY(DATE($B$3,2,1),1)+1+20,"")</f>
        <v>46438.0</v>
      </c>
      <c r="O9" s="14">
        <f>IF(MONTH(DATE($B$3,3,1)-WEEKDAY(DATE($B$3,3,1),1)+1+14)=3,DATE($B$3,3,1)-WEEKDAY(DATE($B$3,3,1),1)+1+14,"")</f>
        <v>46460.0</v>
      </c>
      <c r="P9" s="14">
        <f>IF(MONTH(DATE($B$3,3,1)-WEEKDAY(DATE($B$3,3,1),1)+1+15)=3,DATE($B$3,3,1)-WEEKDAY(DATE($B$3,3,1),1)+1+15,"")</f>
        <v>46461.0</v>
      </c>
      <c r="Q9" s="14">
        <f>IF(MONTH(DATE($B$3,3,1)-WEEKDAY(DATE($B$3,3,1),1)+1+16)=3,DATE($B$3,3,1)-WEEKDAY(DATE($B$3,3,1),1)+1+16,"")</f>
        <v>46462.0</v>
      </c>
      <c r="R9" s="14">
        <f>IF(MONTH(DATE($B$3,3,1)-WEEKDAY(DATE($B$3,3,1),1)+1+17)=3,DATE($B$3,3,1)-WEEKDAY(DATE($B$3,3,1),1)+1+17,"")</f>
        <v>46463.0</v>
      </c>
      <c r="S9" s="14">
        <f>IF(MONTH(DATE($B$3,3,1)-WEEKDAY(DATE($B$3,3,1),1)+1+18)=3,DATE($B$3,3,1)-WEEKDAY(DATE($B$3,3,1),1)+1+18,"")</f>
        <v>46464.0</v>
      </c>
      <c r="T9" s="14">
        <f>IF(MONTH(DATE($B$3,3,1)-WEEKDAY(DATE($B$3,3,1),1)+1+19)=3,DATE($B$3,3,1)-WEEKDAY(DATE($B$3,3,1),1)+1+19,"")</f>
        <v>46465.0</v>
      </c>
      <c r="U9" s="14">
        <f>IF(MONTH(DATE($B$3,3,1)-WEEKDAY(DATE($B$3,3,1),1)+1+20)=3,DATE($B$3,3,1)-WEEKDAY(DATE($B$3,3,1),1)+1+20,"")</f>
        <v>46466.0</v>
      </c>
      <c r="X9" s="11">
        <f>DATE($B$3,9,7)</f>
        <v>46637</v>
      </c>
      <c r="Y9" s="12" t="str">
        <f>CHOOSE(WEEKDAY(X9,1),"domingo","segunda","terça","quarta","quinta","sexta","sábado")</f>
        <v>terça</v>
      </c>
      <c r="Z9" s="13" t="inlineStr">
        <is>
          <t>Independência do Brasil</t>
        </is>
      </c>
      <c r="AA9" s="13" t="inlineStr">
        <is>
          <t>Lei 662/1949</t>
        </is>
      </c>
      <c r="AC9" s="6">
        <f>INT(AC7/4)</f>
        <v>5</v>
      </c>
      <c r="AD9" s="6" t="inlineStr">
        <is>
          <t>d</t>
        </is>
      </c>
    </row>
    <row r="10">
      <c r="A10" s="14">
        <f>IF(MONTH(DATE($B$3,1,1)-WEEKDAY(DATE($B$3,1,1),1)+1+21)=1,DATE($B$3,1,1)-WEEKDAY(DATE($B$3,1,1),1)+1+21,"")</f>
        <v>46404.0</v>
      </c>
      <c r="B10" s="14">
        <f>IF(MONTH(DATE($B$3,1,1)-WEEKDAY(DATE($B$3,1,1),1)+1+22)=1,DATE($B$3,1,1)-WEEKDAY(DATE($B$3,1,1),1)+1+22,"")</f>
        <v>46405.0</v>
      </c>
      <c r="C10" s="14">
        <f>IF(MONTH(DATE($B$3,1,1)-WEEKDAY(DATE($B$3,1,1),1)+1+23)=1,DATE($B$3,1,1)-WEEKDAY(DATE($B$3,1,1),1)+1+23,"")</f>
        <v>46406.0</v>
      </c>
      <c r="D10" s="14">
        <f>IF(MONTH(DATE($B$3,1,1)-WEEKDAY(DATE($B$3,1,1),1)+1+24)=1,DATE($B$3,1,1)-WEEKDAY(DATE($B$3,1,1),1)+1+24,"")</f>
        <v>46407.0</v>
      </c>
      <c r="E10" s="14">
        <f>IF(MONTH(DATE($B$3,1,1)-WEEKDAY(DATE($B$3,1,1),1)+1+25)=1,DATE($B$3,1,1)-WEEKDAY(DATE($B$3,1,1),1)+1+25,"")</f>
        <v>46408.0</v>
      </c>
      <c r="F10" s="14">
        <f>IF(MONTH(DATE($B$3,1,1)-WEEKDAY(DATE($B$3,1,1),1)+1+26)=1,DATE($B$3,1,1)-WEEKDAY(DATE($B$3,1,1),1)+1+26,"")</f>
        <v>46409.0</v>
      </c>
      <c r="G10" s="14">
        <f>IF(MONTH(DATE($B$3,1,1)-WEEKDAY(DATE($B$3,1,1),1)+1+27)=1,DATE($B$3,1,1)-WEEKDAY(DATE($B$3,1,1),1)+1+27,"")</f>
        <v>46410.0</v>
      </c>
      <c r="H10" s="14">
        <f>IF(MONTH(DATE($B$3,2,1)-WEEKDAY(DATE($B$3,2,1),1)+1+21)=2,DATE($B$3,2,1)-WEEKDAY(DATE($B$3,2,1),1)+1+21,"")</f>
        <v>46439.0</v>
      </c>
      <c r="I10" s="14">
        <f>IF(MONTH(DATE($B$3,2,1)-WEEKDAY(DATE($B$3,2,1),1)+1+22)=2,DATE($B$3,2,1)-WEEKDAY(DATE($B$3,2,1),1)+1+22,"")</f>
        <v>46440.0</v>
      </c>
      <c r="J10" s="14">
        <f>IF(MONTH(DATE($B$3,2,1)-WEEKDAY(DATE($B$3,2,1),1)+1+23)=2,DATE($B$3,2,1)-WEEKDAY(DATE($B$3,2,1),1)+1+23,"")</f>
        <v>46441.0</v>
      </c>
      <c r="K10" s="14">
        <f>IF(MONTH(DATE($B$3,2,1)-WEEKDAY(DATE($B$3,2,1),1)+1+24)=2,DATE($B$3,2,1)-WEEKDAY(DATE($B$3,2,1),1)+1+24,"")</f>
        <v>46442.0</v>
      </c>
      <c r="L10" s="14">
        <f>IF(MONTH(DATE($B$3,2,1)-WEEKDAY(DATE($B$3,2,1),1)+1+25)=2,DATE($B$3,2,1)-WEEKDAY(DATE($B$3,2,1),1)+1+25,"")</f>
        <v>46443.0</v>
      </c>
      <c r="M10" s="14">
        <f>IF(MONTH(DATE($B$3,2,1)-WEEKDAY(DATE($B$3,2,1),1)+1+26)=2,DATE($B$3,2,1)-WEEKDAY(DATE($B$3,2,1),1)+1+26,"")</f>
        <v>46444.0</v>
      </c>
      <c r="N10" s="14">
        <f>IF(MONTH(DATE($B$3,2,1)-WEEKDAY(DATE($B$3,2,1),1)+1+27)=2,DATE($B$3,2,1)-WEEKDAY(DATE($B$3,2,1),1)+1+27,"")</f>
        <v>46445.0</v>
      </c>
      <c r="O10" s="14">
        <f>IF(MONTH(DATE($B$3,3,1)-WEEKDAY(DATE($B$3,3,1),1)+1+21)=3,DATE($B$3,3,1)-WEEKDAY(DATE($B$3,3,1),1)+1+21,"")</f>
        <v>46467.0</v>
      </c>
      <c r="P10" s="14">
        <f>IF(MONTH(DATE($B$3,3,1)-WEEKDAY(DATE($B$3,3,1),1)+1+22)=3,DATE($B$3,3,1)-WEEKDAY(DATE($B$3,3,1),1)+1+22,"")</f>
        <v>46468.0</v>
      </c>
      <c r="Q10" s="14">
        <f>IF(MONTH(DATE($B$3,3,1)-WEEKDAY(DATE($B$3,3,1),1)+1+23)=3,DATE($B$3,3,1)-WEEKDAY(DATE($B$3,3,1),1)+1+23,"")</f>
        <v>46469.0</v>
      </c>
      <c r="R10" s="14">
        <f>IF(MONTH(DATE($B$3,3,1)-WEEKDAY(DATE($B$3,3,1),1)+1+24)=3,DATE($B$3,3,1)-WEEKDAY(DATE($B$3,3,1),1)+1+24,"")</f>
        <v>46470.0</v>
      </c>
      <c r="S10" s="14">
        <f>IF(MONTH(DATE($B$3,3,1)-WEEKDAY(DATE($B$3,3,1),1)+1+25)=3,DATE($B$3,3,1)-WEEKDAY(DATE($B$3,3,1),1)+1+25,"")</f>
        <v>46471.0</v>
      </c>
      <c r="T10" s="14">
        <f>IF(MONTH(DATE($B$3,3,1)-WEEKDAY(DATE($B$3,3,1),1)+1+26)=3,DATE($B$3,3,1)-WEEKDAY(DATE($B$3,3,1),1)+1+26,"")</f>
        <v>46472.0</v>
      </c>
      <c r="U10" s="14">
        <f>IF(MONTH(DATE($B$3,3,1)-WEEKDAY(DATE($B$3,3,1),1)+1+27)=3,DATE($B$3,3,1)-WEEKDAY(DATE($B$3,3,1),1)+1+27,"")</f>
        <v>46473.0</v>
      </c>
      <c r="X10" s="11">
        <f>DATE($B$3,10,12)</f>
        <v>46672</v>
      </c>
      <c r="Y10" s="12" t="str">
        <f>CHOOSE(WEEKDAY(X10,1),"domingo","segunda","terça","quarta","quinta","sexta","sábado")</f>
        <v>terça</v>
      </c>
      <c r="Z10" s="13" t="inlineStr">
        <is>
          <t>Nossa Senhora Aparecida</t>
        </is>
      </c>
      <c r="AA10" s="13" t="inlineStr">
        <is>
          <t>Lei 6.802/1980</t>
        </is>
      </c>
      <c r="AC10" s="6">
        <f>MOD(AC7,4)</f>
        <v>0.0</v>
      </c>
      <c r="AD10" s="6" t="inlineStr">
        <is>
          <t>e</t>
        </is>
      </c>
    </row>
    <row r="11">
      <c r="A11" s="14">
        <f>IF(MONTH(DATE($B$3,1,1)-WEEKDAY(DATE($B$3,1,1),1)+1+28)=1,DATE($B$3,1,1)-WEEKDAY(DATE($B$3,1,1),1)+1+28,"")</f>
        <v>46411.0</v>
      </c>
      <c r="B11" s="14">
        <f>IF(MONTH(DATE($B$3,1,1)-WEEKDAY(DATE($B$3,1,1),1)+1+29)=1,DATE($B$3,1,1)-WEEKDAY(DATE($B$3,1,1),1)+1+29,"")</f>
        <v>46412.0</v>
      </c>
      <c r="C11" s="14">
        <f>IF(MONTH(DATE($B$3,1,1)-WEEKDAY(DATE($B$3,1,1),1)+1+30)=1,DATE($B$3,1,1)-WEEKDAY(DATE($B$3,1,1),1)+1+30,"")</f>
        <v>46413.0</v>
      </c>
      <c r="D11" s="14">
        <f>IF(MONTH(DATE($B$3,1,1)-WEEKDAY(DATE($B$3,1,1),1)+1+31)=1,DATE($B$3,1,1)-WEEKDAY(DATE($B$3,1,1),1)+1+31,"")</f>
        <v>46414.0</v>
      </c>
      <c r="E11" s="14">
        <f>IF(MONTH(DATE($B$3,1,1)-WEEKDAY(DATE($B$3,1,1),1)+1+32)=1,DATE($B$3,1,1)-WEEKDAY(DATE($B$3,1,1),1)+1+32,"")</f>
        <v>46415.0</v>
      </c>
      <c r="F11" s="14">
        <f>IF(MONTH(DATE($B$3,1,1)-WEEKDAY(DATE($B$3,1,1),1)+1+33)=1,DATE($B$3,1,1)-WEEKDAY(DATE($B$3,1,1),1)+1+33,"")</f>
        <v>46416.0</v>
      </c>
      <c r="G11" s="14">
        <f>IF(MONTH(DATE($B$3,1,1)-WEEKDAY(DATE($B$3,1,1),1)+1+34)=1,DATE($B$3,1,1)-WEEKDAY(DATE($B$3,1,1),1)+1+34,"")</f>
        <v>46417.0</v>
      </c>
      <c r="H11" s="14">
        <f>IF(MONTH(DATE($B$3,2,1)-WEEKDAY(DATE($B$3,2,1),1)+1+28)=2,DATE($B$3,2,1)-WEEKDAY(DATE($B$3,2,1),1)+1+28,"")</f>
        <v>46446.0</v>
      </c>
      <c r="I11" s="14" t="str">
        <f>IF(MONTH(DATE($B$3,2,1)-WEEKDAY(DATE($B$3,2,1),1)+1+29)=2,DATE($B$3,2,1)-WEEKDAY(DATE($B$3,2,1),1)+1+29,"")</f>
        <v/>
      </c>
      <c r="J11" s="14" t="str">
        <f>IF(MONTH(DATE($B$3,2,1)-WEEKDAY(DATE($B$3,2,1),1)+1+30)=2,DATE($B$3,2,1)-WEEKDAY(DATE($B$3,2,1),1)+1+30,"")</f>
        <v/>
      </c>
      <c r="K11" s="14" t="str">
        <f>IF(MONTH(DATE($B$3,2,1)-WEEKDAY(DATE($B$3,2,1),1)+1+31)=2,DATE($B$3,2,1)-WEEKDAY(DATE($B$3,2,1),1)+1+31,"")</f>
        <v/>
      </c>
      <c r="L11" s="14" t="str">
        <f>IF(MONTH(DATE($B$3,2,1)-WEEKDAY(DATE($B$3,2,1),1)+1+32)=2,DATE($B$3,2,1)-WEEKDAY(DATE($B$3,2,1),1)+1+32,"")</f>
        <v/>
      </c>
      <c r="M11" s="14" t="str">
        <f>IF(MONTH(DATE($B$3,2,1)-WEEKDAY(DATE($B$3,2,1),1)+1+33)=2,DATE($B$3,2,1)-WEEKDAY(DATE($B$3,2,1),1)+1+33,"")</f>
        <v/>
      </c>
      <c r="N11" s="14" t="str">
        <f>IF(MONTH(DATE($B$3,2,1)-WEEKDAY(DATE($B$3,2,1),1)+1+34)=2,DATE($B$3,2,1)-WEEKDAY(DATE($B$3,2,1),1)+1+34,"")</f>
        <v/>
      </c>
      <c r="O11" s="14">
        <f>IF(MONTH(DATE($B$3,3,1)-WEEKDAY(DATE($B$3,3,1),1)+1+28)=3,DATE($B$3,3,1)-WEEKDAY(DATE($B$3,3,1),1)+1+28,"")</f>
        <v>46474.0</v>
      </c>
      <c r="P11" s="14">
        <f>IF(MONTH(DATE($B$3,3,1)-WEEKDAY(DATE($B$3,3,1),1)+1+29)=3,DATE($B$3,3,1)-WEEKDAY(DATE($B$3,3,1),1)+1+29,"")</f>
        <v>46475.0</v>
      </c>
      <c r="Q11" s="14">
        <f>IF(MONTH(DATE($B$3,3,1)-WEEKDAY(DATE($B$3,3,1),1)+1+30)=3,DATE($B$3,3,1)-WEEKDAY(DATE($B$3,3,1),1)+1+30,"")</f>
        <v>46476.0</v>
      </c>
      <c r="R11" s="14">
        <f>IF(MONTH(DATE($B$3,3,1)-WEEKDAY(DATE($B$3,3,1),1)+1+31)=3,DATE($B$3,3,1)-WEEKDAY(DATE($B$3,3,1),1)+1+31,"")</f>
        <v>46477.0</v>
      </c>
      <c r="S11" s="14" t="str">
        <f>IF(MONTH(DATE($B$3,3,1)-WEEKDAY(DATE($B$3,3,1),1)+1+32)=3,DATE($B$3,3,1)-WEEKDAY(DATE($B$3,3,1),1)+1+32,"")</f>
        <v/>
      </c>
      <c r="T11" s="14" t="str">
        <f>IF(MONTH(DATE($B$3,3,1)-WEEKDAY(DATE($B$3,3,1),1)+1+33)=3,DATE($B$3,3,1)-WEEKDAY(DATE($B$3,3,1),1)+1+33,"")</f>
        <v/>
      </c>
      <c r="U11" s="14" t="str">
        <f>IF(MONTH(DATE($B$3,3,1)-WEEKDAY(DATE($B$3,3,1),1)+1+34)=3,DATE($B$3,3,1)-WEEKDAY(DATE($B$3,3,1),1)+1+34,"")</f>
        <v/>
      </c>
      <c r="X11" s="11">
        <f>DATE($B$3,11,2)</f>
        <v>46693</v>
      </c>
      <c r="Y11" s="12" t="str">
        <f>CHOOSE(WEEKDAY(X11,1),"domingo","segunda","terça","quarta","quinta","sexta","sábado")</f>
        <v>terça</v>
      </c>
      <c r="Z11" s="13" t="inlineStr">
        <is>
          <t>Finados</t>
        </is>
      </c>
      <c r="AA11" s="13" t="inlineStr">
        <is>
          <t>Lei 662/1949</t>
        </is>
      </c>
      <c r="AC11" s="6">
        <f>INT((AC7+8)/25)</f>
        <v>1</v>
      </c>
      <c r="AD11" s="6" t="inlineStr">
        <is>
          <t>f</t>
        </is>
      </c>
    </row>
    <row r="12">
      <c r="A12" s="14">
        <f>IF(MONTH(DATE($B$3,1,1)-WEEKDAY(DATE($B$3,1,1),1)+1+35)=1,DATE($B$3,1,1)-WEEKDAY(DATE($B$3,1,1),1)+1+35,"")</f>
        <v>46418.0</v>
      </c>
      <c r="B12" s="14" t="str">
        <f>IF(MONTH(DATE($B$3,1,1)-WEEKDAY(DATE($B$3,1,1),1)+1+36)=1,DATE($B$3,1,1)-WEEKDAY(DATE($B$3,1,1),1)+1+36,"")</f>
        <v/>
      </c>
      <c r="C12" s="14" t="str">
        <f>IF(MONTH(DATE($B$3,1,1)-WEEKDAY(DATE($B$3,1,1),1)+1+37)=1,DATE($B$3,1,1)-WEEKDAY(DATE($B$3,1,1),1)+1+37,"")</f>
        <v/>
      </c>
      <c r="D12" s="14" t="str">
        <f>IF(MONTH(DATE($B$3,1,1)-WEEKDAY(DATE($B$3,1,1),1)+1+38)=1,DATE($B$3,1,1)-WEEKDAY(DATE($B$3,1,1),1)+1+38,"")</f>
        <v/>
      </c>
      <c r="E12" s="14" t="str">
        <f>IF(MONTH(DATE($B$3,1,1)-WEEKDAY(DATE($B$3,1,1),1)+1+39)=1,DATE($B$3,1,1)-WEEKDAY(DATE($B$3,1,1),1)+1+39,"")</f>
        <v/>
      </c>
      <c r="F12" s="14" t="str">
        <f>IF(MONTH(DATE($B$3,1,1)-WEEKDAY(DATE($B$3,1,1),1)+1+40)=1,DATE($B$3,1,1)-WEEKDAY(DATE($B$3,1,1),1)+1+40,"")</f>
        <v/>
      </c>
      <c r="G12" s="14" t="str">
        <f>IF(MONTH(DATE($B$3,1,1)-WEEKDAY(DATE($B$3,1,1),1)+1+41)=1,DATE($B$3,1,1)-WEEKDAY(DATE($B$3,1,1),1)+1+41,"")</f>
        <v/>
      </c>
      <c r="H12" s="14" t="str">
        <f>IF(MONTH(DATE($B$3,2,1)-WEEKDAY(DATE($B$3,2,1),1)+1+35)=2,DATE($B$3,2,1)-WEEKDAY(DATE($B$3,2,1),1)+1+35,"")</f>
        <v/>
      </c>
      <c r="I12" s="14" t="str">
        <f>IF(MONTH(DATE($B$3,2,1)-WEEKDAY(DATE($B$3,2,1),1)+1+36)=2,DATE($B$3,2,1)-WEEKDAY(DATE($B$3,2,1),1)+1+36,"")</f>
        <v/>
      </c>
      <c r="J12" s="14" t="str">
        <f>IF(MONTH(DATE($B$3,2,1)-WEEKDAY(DATE($B$3,2,1),1)+1+37)=2,DATE($B$3,2,1)-WEEKDAY(DATE($B$3,2,1),1)+1+37,"")</f>
        <v/>
      </c>
      <c r="K12" s="14" t="str">
        <f>IF(MONTH(DATE($B$3,2,1)-WEEKDAY(DATE($B$3,2,1),1)+1+38)=2,DATE($B$3,2,1)-WEEKDAY(DATE($B$3,2,1),1)+1+38,"")</f>
        <v/>
      </c>
      <c r="L12" s="14" t="str">
        <f>IF(MONTH(DATE($B$3,2,1)-WEEKDAY(DATE($B$3,2,1),1)+1+39)=2,DATE($B$3,2,1)-WEEKDAY(DATE($B$3,2,1),1)+1+39,"")</f>
        <v/>
      </c>
      <c r="M12" s="14" t="str">
        <f>IF(MONTH(DATE($B$3,2,1)-WEEKDAY(DATE($B$3,2,1),1)+1+40)=2,DATE($B$3,2,1)-WEEKDAY(DATE($B$3,2,1),1)+1+40,"")</f>
        <v/>
      </c>
      <c r="N12" s="14" t="str">
        <f>IF(MONTH(DATE($B$3,2,1)-WEEKDAY(DATE($B$3,2,1),1)+1+41)=2,DATE($B$3,2,1)-WEEKDAY(DATE($B$3,2,1),1)+1+41,"")</f>
        <v/>
      </c>
      <c r="O12" s="14" t="str">
        <f>IF(MONTH(DATE($B$3,3,1)-WEEKDAY(DATE($B$3,3,1),1)+1+35)=3,DATE($B$3,3,1)-WEEKDAY(DATE($B$3,3,1),1)+1+35,"")</f>
        <v/>
      </c>
      <c r="P12" s="14" t="str">
        <f>IF(MONTH(DATE($B$3,3,1)-WEEKDAY(DATE($B$3,3,1),1)+1+36)=3,DATE($B$3,3,1)-WEEKDAY(DATE($B$3,3,1),1)+1+36,"")</f>
        <v/>
      </c>
      <c r="Q12" s="14" t="str">
        <f>IF(MONTH(DATE($B$3,3,1)-WEEKDAY(DATE($B$3,3,1),1)+1+37)=3,DATE($B$3,3,1)-WEEKDAY(DATE($B$3,3,1),1)+1+37,"")</f>
        <v/>
      </c>
      <c r="R12" s="14" t="str">
        <f>IF(MONTH(DATE($B$3,3,1)-WEEKDAY(DATE($B$3,3,1),1)+1+38)=3,DATE($B$3,3,1)-WEEKDAY(DATE($B$3,3,1),1)+1+38,"")</f>
        <v/>
      </c>
      <c r="S12" s="14" t="str">
        <f>IF(MONTH(DATE($B$3,3,1)-WEEKDAY(DATE($B$3,3,1),1)+1+39)=3,DATE($B$3,3,1)-WEEKDAY(DATE($B$3,3,1),1)+1+39,"")</f>
        <v/>
      </c>
      <c r="T12" s="14" t="str">
        <f>IF(MONTH(DATE($B$3,3,1)-WEEKDAY(DATE($B$3,3,1),1)+1+40)=3,DATE($B$3,3,1)-WEEKDAY(DATE($B$3,3,1),1)+1+40,"")</f>
        <v/>
      </c>
      <c r="U12" s="14" t="str">
        <f>IF(MONTH(DATE($B$3,3,1)-WEEKDAY(DATE($B$3,3,1),1)+1+41)=3,DATE($B$3,3,1)-WEEKDAY(DATE($B$3,3,1),1)+1+41,"")</f>
        <v/>
      </c>
      <c r="X12" s="11">
        <f>DATE($B$3,11,15)</f>
        <v>46706</v>
      </c>
      <c r="Y12" s="12" t="str">
        <f>CHOOSE(WEEKDAY(X12,1),"domingo","segunda","terça","quarta","quinta","sexta","sábado")</f>
        <v>segunda</v>
      </c>
      <c r="Z12" s="13" t="inlineStr">
        <is>
          <t>Proclamação da República</t>
        </is>
      </c>
      <c r="AA12" s="13" t="inlineStr">
        <is>
          <t>Lei 662/1949</t>
        </is>
      </c>
      <c r="AC12" s="6">
        <f>INT((AC7-AC11+1)/3)</f>
        <v>6</v>
      </c>
      <c r="AD12" s="6" t="inlineStr">
        <is>
          <t>g</t>
        </is>
      </c>
    </row>
    <row r="13">
      <c r="X13" s="11">
        <f>DATE($B$3,11,20)</f>
        <v>46711</v>
      </c>
      <c r="Y13" s="12" t="str">
        <f>CHOOSE(WEEKDAY(X13,1),"domingo","segunda","terça","quarta","quinta","sexta","sábado")</f>
        <v>sábado</v>
      </c>
      <c r="Z13" s="13" t="inlineStr">
        <is>
          <t>Consciência Negra</t>
        </is>
      </c>
      <c r="AA13" s="13" t="inlineStr">
        <is>
          <t>Lei 14.759/2023</t>
        </is>
      </c>
      <c r="AC13" s="6">
        <f>MOD(19*AC6+AC7-AC9-AC12+15,30)</f>
        <v>1.0</v>
      </c>
      <c r="AD13" s="6" t="inlineStr">
        <is>
          <t>h</t>
        </is>
      </c>
    </row>
    <row r="14" ht="22" customHeight="1">
      <c r="A14" s="7" t="inlineStr">
        <is>
          <t>Abril</t>
        </is>
      </c>
      <c r="H14" s="7" t="inlineStr">
        <is>
          <t>Maio</t>
        </is>
      </c>
      <c r="O14" s="7" t="inlineStr">
        <is>
          <t>Junho</t>
        </is>
      </c>
      <c r="X14" s="11">
        <f>DATE($B$3,12,25)</f>
        <v>46746</v>
      </c>
      <c r="Y14" s="12" t="str">
        <f>CHOOSE(WEEKDAY(X14,1),"domingo","segunda","terça","quarta","quinta","sexta","sábado")</f>
        <v>sábado</v>
      </c>
      <c r="Z14" s="13" t="inlineStr">
        <is>
          <t>Natal</t>
        </is>
      </c>
      <c r="AA14" s="13" t="inlineStr">
        <is>
          <t>Lei 662/1949</t>
        </is>
      </c>
      <c r="AC14" s="6">
        <f>INT(AC8/4)</f>
        <v>6</v>
      </c>
      <c r="AD14" s="6" t="inlineStr">
        <is>
          <t>i</t>
        </is>
      </c>
    </row>
    <row r="15">
      <c r="A15" s="10" t="inlineStr">
        <is>
          <t>D</t>
        </is>
      </c>
      <c r="B15" s="10" t="inlineStr">
        <is>
          <t>S</t>
        </is>
      </c>
      <c r="C15" s="10" t="inlineStr">
        <is>
          <t>T</t>
        </is>
      </c>
      <c r="D15" s="10" t="inlineStr">
        <is>
          <t>Q</t>
        </is>
      </c>
      <c r="E15" s="10" t="inlineStr">
        <is>
          <t>Q</t>
        </is>
      </c>
      <c r="F15" s="10" t="inlineStr">
        <is>
          <t>S</t>
        </is>
      </c>
      <c r="G15" s="10" t="inlineStr">
        <is>
          <t>S</t>
        </is>
      </c>
      <c r="H15" s="10" t="inlineStr">
        <is>
          <t>D</t>
        </is>
      </c>
      <c r="I15" s="10" t="inlineStr">
        <is>
          <t>S</t>
        </is>
      </c>
      <c r="J15" s="10" t="inlineStr">
        <is>
          <t>T</t>
        </is>
      </c>
      <c r="K15" s="10" t="inlineStr">
        <is>
          <t>Q</t>
        </is>
      </c>
      <c r="L15" s="10" t="inlineStr">
        <is>
          <t>Q</t>
        </is>
      </c>
      <c r="M15" s="10" t="inlineStr">
        <is>
          <t>S</t>
        </is>
      </c>
      <c r="N15" s="10" t="inlineStr">
        <is>
          <t>S</t>
        </is>
      </c>
      <c r="O15" s="10" t="inlineStr">
        <is>
          <t>D</t>
        </is>
      </c>
      <c r="P15" s="10" t="inlineStr">
        <is>
          <t>S</t>
        </is>
      </c>
      <c r="Q15" s="10" t="inlineStr">
        <is>
          <t>T</t>
        </is>
      </c>
      <c r="R15" s="10" t="inlineStr">
        <is>
          <t>Q</t>
        </is>
      </c>
      <c r="S15" s="10" t="inlineStr">
        <is>
          <t>Q</t>
        </is>
      </c>
      <c r="T15" s="10" t="inlineStr">
        <is>
          <t>S</t>
        </is>
      </c>
      <c r="U15" s="10" t="inlineStr">
        <is>
          <t>S</t>
        </is>
      </c>
      <c r="AC15" s="6">
        <f>MOD(AC8,4)</f>
        <v>3.0</v>
      </c>
      <c r="AD15" s="6" t="inlineStr">
        <is>
          <t>k</t>
        </is>
      </c>
    </row>
    <row r="16">
      <c r="A16" s="14" t="str">
        <f>IF(MONTH(DATE($B$3,4,1)-WEEKDAY(DATE($B$3,4,1),1)+1+0)=4,DATE($B$3,4,1)-WEEKDAY(DATE($B$3,4,1),1)+1+0,"")</f>
        <v/>
      </c>
      <c r="B16" s="14" t="str">
        <f>IF(MONTH(DATE($B$3,4,1)-WEEKDAY(DATE($B$3,4,1),1)+1+1)=4,DATE($B$3,4,1)-WEEKDAY(DATE($B$3,4,1),1)+1+1,"")</f>
        <v/>
      </c>
      <c r="C16" s="14" t="str">
        <f>IF(MONTH(DATE($B$3,4,1)-WEEKDAY(DATE($B$3,4,1),1)+1+2)=4,DATE($B$3,4,1)-WEEKDAY(DATE($B$3,4,1),1)+1+2,"")</f>
        <v/>
      </c>
      <c r="D16" s="14" t="str">
        <f>IF(MONTH(DATE($B$3,4,1)-WEEKDAY(DATE($B$3,4,1),1)+1+3)=4,DATE($B$3,4,1)-WEEKDAY(DATE($B$3,4,1),1)+1+3,"")</f>
        <v/>
      </c>
      <c r="E16" s="14">
        <f>IF(MONTH(DATE($B$3,4,1)-WEEKDAY(DATE($B$3,4,1),1)+1+4)=4,DATE($B$3,4,1)-WEEKDAY(DATE($B$3,4,1),1)+1+4,"")</f>
        <v>46478.0</v>
      </c>
      <c r="F16" s="14">
        <f>IF(MONTH(DATE($B$3,4,1)-WEEKDAY(DATE($B$3,4,1),1)+1+5)=4,DATE($B$3,4,1)-WEEKDAY(DATE($B$3,4,1),1)+1+5,"")</f>
        <v>46479.0</v>
      </c>
      <c r="G16" s="14">
        <f>IF(MONTH(DATE($B$3,4,1)-WEEKDAY(DATE($B$3,4,1),1)+1+6)=4,DATE($B$3,4,1)-WEEKDAY(DATE($B$3,4,1),1)+1+6,"")</f>
        <v>46480.0</v>
      </c>
      <c r="H16" s="14" t="str">
        <f>IF(MONTH(DATE($B$3,5,1)-WEEKDAY(DATE($B$3,5,1),1)+1+0)=5,DATE($B$3,5,1)-WEEKDAY(DATE($B$3,5,1),1)+1+0,"")</f>
        <v/>
      </c>
      <c r="I16" s="14" t="str">
        <f>IF(MONTH(DATE($B$3,5,1)-WEEKDAY(DATE($B$3,5,1),1)+1+1)=5,DATE($B$3,5,1)-WEEKDAY(DATE($B$3,5,1),1)+1+1,"")</f>
        <v/>
      </c>
      <c r="J16" s="14" t="str">
        <f>IF(MONTH(DATE($B$3,5,1)-WEEKDAY(DATE($B$3,5,1),1)+1+2)=5,DATE($B$3,5,1)-WEEKDAY(DATE($B$3,5,1),1)+1+2,"")</f>
        <v/>
      </c>
      <c r="K16" s="14" t="str">
        <f>IF(MONTH(DATE($B$3,5,1)-WEEKDAY(DATE($B$3,5,1),1)+1+3)=5,DATE($B$3,5,1)-WEEKDAY(DATE($B$3,5,1),1)+1+3,"")</f>
        <v/>
      </c>
      <c r="L16" s="14" t="str">
        <f>IF(MONTH(DATE($B$3,5,1)-WEEKDAY(DATE($B$3,5,1),1)+1+4)=5,DATE($B$3,5,1)-WEEKDAY(DATE($B$3,5,1),1)+1+4,"")</f>
        <v/>
      </c>
      <c r="M16" s="14" t="str">
        <f>IF(MONTH(DATE($B$3,5,1)-WEEKDAY(DATE($B$3,5,1),1)+1+5)=5,DATE($B$3,5,1)-WEEKDAY(DATE($B$3,5,1),1)+1+5,"")</f>
        <v/>
      </c>
      <c r="N16" s="14">
        <f>IF(MONTH(DATE($B$3,5,1)-WEEKDAY(DATE($B$3,5,1),1)+1+6)=5,DATE($B$3,5,1)-WEEKDAY(DATE($B$3,5,1),1)+1+6,"")</f>
        <v>46508.0</v>
      </c>
      <c r="O16" s="14" t="str">
        <f>IF(MONTH(DATE($B$3,6,1)-WEEKDAY(DATE($B$3,6,1),1)+1+0)=6,DATE($B$3,6,1)-WEEKDAY(DATE($B$3,6,1),1)+1+0,"")</f>
        <v/>
      </c>
      <c r="P16" s="14" t="str">
        <f>IF(MONTH(DATE($B$3,6,1)-WEEKDAY(DATE($B$3,6,1),1)+1+1)=6,DATE($B$3,6,1)-WEEKDAY(DATE($B$3,6,1),1)+1+1,"")</f>
        <v/>
      </c>
      <c r="Q16" s="14">
        <f>IF(MONTH(DATE($B$3,6,1)-WEEKDAY(DATE($B$3,6,1),1)+1+2)=6,DATE($B$3,6,1)-WEEKDAY(DATE($B$3,6,1),1)+1+2,"")</f>
        <v>46539.0</v>
      </c>
      <c r="R16" s="14">
        <f>IF(MONTH(DATE($B$3,6,1)-WEEKDAY(DATE($B$3,6,1),1)+1+3)=6,DATE($B$3,6,1)-WEEKDAY(DATE($B$3,6,1),1)+1+3,"")</f>
        <v>46540.0</v>
      </c>
      <c r="S16" s="14">
        <f>IF(MONTH(DATE($B$3,6,1)-WEEKDAY(DATE($B$3,6,1),1)+1+4)=6,DATE($B$3,6,1)-WEEKDAY(DATE($B$3,6,1),1)+1+4,"")</f>
        <v>46541.0</v>
      </c>
      <c r="T16" s="14">
        <f>IF(MONTH(DATE($B$3,6,1)-WEEKDAY(DATE($B$3,6,1),1)+1+5)=6,DATE($B$3,6,1)-WEEKDAY(DATE($B$3,6,1),1)+1+5,"")</f>
        <v>46542.0</v>
      </c>
      <c r="U16" s="14">
        <f>IF(MONTH(DATE($B$3,6,1)-WEEKDAY(DATE($B$3,6,1),1)+1+6)=6,DATE($B$3,6,1)-WEEKDAY(DATE($B$3,6,1),1)+1+6,"")</f>
        <v>46543.0</v>
      </c>
      <c r="X16" s="5" t="inlineStr">
        <is>
          <t>Datas móveis (não são feriado nacional por lei federal)</t>
        </is>
      </c>
      <c r="AC16" s="6">
        <f>MOD(32+2*AC10+2*AC14-AC13-AC15,7)</f>
        <v>5.0</v>
      </c>
      <c r="AD16" s="6" t="inlineStr">
        <is>
          <t>l</t>
        </is>
      </c>
    </row>
    <row r="17" ht="20" customHeight="1">
      <c r="A17" s="14">
        <f>IF(MONTH(DATE($B$3,4,1)-WEEKDAY(DATE($B$3,4,1),1)+1+7)=4,DATE($B$3,4,1)-WEEKDAY(DATE($B$3,4,1),1)+1+7,"")</f>
        <v>46481.0</v>
      </c>
      <c r="B17" s="14">
        <f>IF(MONTH(DATE($B$3,4,1)-WEEKDAY(DATE($B$3,4,1),1)+1+8)=4,DATE($B$3,4,1)-WEEKDAY(DATE($B$3,4,1),1)+1+8,"")</f>
        <v>46482.0</v>
      </c>
      <c r="C17" s="14">
        <f>IF(MONTH(DATE($B$3,4,1)-WEEKDAY(DATE($B$3,4,1),1)+1+9)=4,DATE($B$3,4,1)-WEEKDAY(DATE($B$3,4,1),1)+1+9,"")</f>
        <v>46483.0</v>
      </c>
      <c r="D17" s="14">
        <f>IF(MONTH(DATE($B$3,4,1)-WEEKDAY(DATE($B$3,4,1),1)+1+10)=4,DATE($B$3,4,1)-WEEKDAY(DATE($B$3,4,1),1)+1+10,"")</f>
        <v>46484.0</v>
      </c>
      <c r="E17" s="14">
        <f>IF(MONTH(DATE($B$3,4,1)-WEEKDAY(DATE($B$3,4,1),1)+1+11)=4,DATE($B$3,4,1)-WEEKDAY(DATE($B$3,4,1),1)+1+11,"")</f>
        <v>46485.0</v>
      </c>
      <c r="F17" s="14">
        <f>IF(MONTH(DATE($B$3,4,1)-WEEKDAY(DATE($B$3,4,1),1)+1+12)=4,DATE($B$3,4,1)-WEEKDAY(DATE($B$3,4,1),1)+1+12,"")</f>
        <v>46486.0</v>
      </c>
      <c r="G17" s="14">
        <f>IF(MONTH(DATE($B$3,4,1)-WEEKDAY(DATE($B$3,4,1),1)+1+13)=4,DATE($B$3,4,1)-WEEKDAY(DATE($B$3,4,1),1)+1+13,"")</f>
        <v>46487.0</v>
      </c>
      <c r="H17" s="14">
        <f>IF(MONTH(DATE($B$3,5,1)-WEEKDAY(DATE($B$3,5,1),1)+1+7)=5,DATE($B$3,5,1)-WEEKDAY(DATE($B$3,5,1),1)+1+7,"")</f>
        <v>46509.0</v>
      </c>
      <c r="I17" s="14">
        <f>IF(MONTH(DATE($B$3,5,1)-WEEKDAY(DATE($B$3,5,1),1)+1+8)=5,DATE($B$3,5,1)-WEEKDAY(DATE($B$3,5,1),1)+1+8,"")</f>
        <v>46510.0</v>
      </c>
      <c r="J17" s="14">
        <f>IF(MONTH(DATE($B$3,5,1)-WEEKDAY(DATE($B$3,5,1),1)+1+9)=5,DATE($B$3,5,1)-WEEKDAY(DATE($B$3,5,1),1)+1+9,"")</f>
        <v>46511.0</v>
      </c>
      <c r="K17" s="14">
        <f>IF(MONTH(DATE($B$3,5,1)-WEEKDAY(DATE($B$3,5,1),1)+1+10)=5,DATE($B$3,5,1)-WEEKDAY(DATE($B$3,5,1),1)+1+10,"")</f>
        <v>46512.0</v>
      </c>
      <c r="L17" s="14">
        <f>IF(MONTH(DATE($B$3,5,1)-WEEKDAY(DATE($B$3,5,1),1)+1+11)=5,DATE($B$3,5,1)-WEEKDAY(DATE($B$3,5,1),1)+1+11,"")</f>
        <v>46513.0</v>
      </c>
      <c r="M17" s="14">
        <f>IF(MONTH(DATE($B$3,5,1)-WEEKDAY(DATE($B$3,5,1),1)+1+12)=5,DATE($B$3,5,1)-WEEKDAY(DATE($B$3,5,1),1)+1+12,"")</f>
        <v>46514.0</v>
      </c>
      <c r="N17" s="14">
        <f>IF(MONTH(DATE($B$3,5,1)-WEEKDAY(DATE($B$3,5,1),1)+1+13)=5,DATE($B$3,5,1)-WEEKDAY(DATE($B$3,5,1),1)+1+13,"")</f>
        <v>46515.0</v>
      </c>
      <c r="O17" s="14">
        <f>IF(MONTH(DATE($B$3,6,1)-WEEKDAY(DATE($B$3,6,1),1)+1+7)=6,DATE($B$3,6,1)-WEEKDAY(DATE($B$3,6,1),1)+1+7,"")</f>
        <v>46544.0</v>
      </c>
      <c r="P17" s="14">
        <f>IF(MONTH(DATE($B$3,6,1)-WEEKDAY(DATE($B$3,6,1),1)+1+8)=6,DATE($B$3,6,1)-WEEKDAY(DATE($B$3,6,1),1)+1+8,"")</f>
        <v>46545.0</v>
      </c>
      <c r="Q17" s="14">
        <f>IF(MONTH(DATE($B$3,6,1)-WEEKDAY(DATE($B$3,6,1),1)+1+9)=6,DATE($B$3,6,1)-WEEKDAY(DATE($B$3,6,1),1)+1+9,"")</f>
        <v>46546.0</v>
      </c>
      <c r="R17" s="14">
        <f>IF(MONTH(DATE($B$3,6,1)-WEEKDAY(DATE($B$3,6,1),1)+1+10)=6,DATE($B$3,6,1)-WEEKDAY(DATE($B$3,6,1),1)+1+10,"")</f>
        <v>46547.0</v>
      </c>
      <c r="S17" s="14">
        <f>IF(MONTH(DATE($B$3,6,1)-WEEKDAY(DATE($B$3,6,1),1)+1+11)=6,DATE($B$3,6,1)-WEEKDAY(DATE($B$3,6,1),1)+1+11,"")</f>
        <v>46548.0</v>
      </c>
      <c r="T17" s="14">
        <f>IF(MONTH(DATE($B$3,6,1)-WEEKDAY(DATE($B$3,6,1),1)+1+12)=6,DATE($B$3,6,1)-WEEKDAY(DATE($B$3,6,1),1)+1+12,"")</f>
        <v>46549.0</v>
      </c>
      <c r="U17" s="14">
        <f>IF(MONTH(DATE($B$3,6,1)-WEEKDAY(DATE($B$3,6,1),1)+1+13)=6,DATE($B$3,6,1)-WEEKDAY(DATE($B$3,6,1),1)+1+13,"")</f>
        <v>46550.0</v>
      </c>
      <c r="X17" s="8" t="inlineStr">
        <is>
          <t>Data</t>
        </is>
      </c>
      <c r="Y17" s="8" t="inlineStr">
        <is>
          <t>Dia</t>
        </is>
      </c>
      <c r="Z17" s="8" t="inlineStr">
        <is>
          <t>Nome</t>
        </is>
      </c>
      <c r="AA17" s="8" t="inlineStr">
        <is>
          <t>Observação</t>
        </is>
      </c>
      <c r="AC17" s="6">
        <f>INT((AC6+11*AC13+22*AC16)/451)</f>
        <v>0</v>
      </c>
      <c r="AD17" s="6" t="inlineStr">
        <is>
          <t>m</t>
        </is>
      </c>
    </row>
    <row r="18">
      <c r="A18" s="14">
        <f>IF(MONTH(DATE($B$3,4,1)-WEEKDAY(DATE($B$3,4,1),1)+1+14)=4,DATE($B$3,4,1)-WEEKDAY(DATE($B$3,4,1),1)+1+14,"")</f>
        <v>46488.0</v>
      </c>
      <c r="B18" s="14">
        <f>IF(MONTH(DATE($B$3,4,1)-WEEKDAY(DATE($B$3,4,1),1)+1+15)=4,DATE($B$3,4,1)-WEEKDAY(DATE($B$3,4,1),1)+1+15,"")</f>
        <v>46489.0</v>
      </c>
      <c r="C18" s="14">
        <f>IF(MONTH(DATE($B$3,4,1)-WEEKDAY(DATE($B$3,4,1),1)+1+16)=4,DATE($B$3,4,1)-WEEKDAY(DATE($B$3,4,1),1)+1+16,"")</f>
        <v>46490.0</v>
      </c>
      <c r="D18" s="14">
        <f>IF(MONTH(DATE($B$3,4,1)-WEEKDAY(DATE($B$3,4,1),1)+1+17)=4,DATE($B$3,4,1)-WEEKDAY(DATE($B$3,4,1),1)+1+17,"")</f>
        <v>46491.0</v>
      </c>
      <c r="E18" s="14">
        <f>IF(MONTH(DATE($B$3,4,1)-WEEKDAY(DATE($B$3,4,1),1)+1+18)=4,DATE($B$3,4,1)-WEEKDAY(DATE($B$3,4,1),1)+1+18,"")</f>
        <v>46492.0</v>
      </c>
      <c r="F18" s="14">
        <f>IF(MONTH(DATE($B$3,4,1)-WEEKDAY(DATE($B$3,4,1),1)+1+19)=4,DATE($B$3,4,1)-WEEKDAY(DATE($B$3,4,1),1)+1+19,"")</f>
        <v>46493.0</v>
      </c>
      <c r="G18" s="14">
        <f>IF(MONTH(DATE($B$3,4,1)-WEEKDAY(DATE($B$3,4,1),1)+1+20)=4,DATE($B$3,4,1)-WEEKDAY(DATE($B$3,4,1),1)+1+20,"")</f>
        <v>46494.0</v>
      </c>
      <c r="H18" s="14">
        <f>IF(MONTH(DATE($B$3,5,1)-WEEKDAY(DATE($B$3,5,1),1)+1+14)=5,DATE($B$3,5,1)-WEEKDAY(DATE($B$3,5,1),1)+1+14,"")</f>
        <v>46516.0</v>
      </c>
      <c r="I18" s="14">
        <f>IF(MONTH(DATE($B$3,5,1)-WEEKDAY(DATE($B$3,5,1),1)+1+15)=5,DATE($B$3,5,1)-WEEKDAY(DATE($B$3,5,1),1)+1+15,"")</f>
        <v>46517.0</v>
      </c>
      <c r="J18" s="14">
        <f>IF(MONTH(DATE($B$3,5,1)-WEEKDAY(DATE($B$3,5,1),1)+1+16)=5,DATE($B$3,5,1)-WEEKDAY(DATE($B$3,5,1),1)+1+16,"")</f>
        <v>46518.0</v>
      </c>
      <c r="K18" s="14">
        <f>IF(MONTH(DATE($B$3,5,1)-WEEKDAY(DATE($B$3,5,1),1)+1+17)=5,DATE($B$3,5,1)-WEEKDAY(DATE($B$3,5,1),1)+1+17,"")</f>
        <v>46519.0</v>
      </c>
      <c r="L18" s="14">
        <f>IF(MONTH(DATE($B$3,5,1)-WEEKDAY(DATE($B$3,5,1),1)+1+18)=5,DATE($B$3,5,1)-WEEKDAY(DATE($B$3,5,1),1)+1+18,"")</f>
        <v>46520.0</v>
      </c>
      <c r="M18" s="14">
        <f>IF(MONTH(DATE($B$3,5,1)-WEEKDAY(DATE($B$3,5,1),1)+1+19)=5,DATE($B$3,5,1)-WEEKDAY(DATE($B$3,5,1),1)+1+19,"")</f>
        <v>46521.0</v>
      </c>
      <c r="N18" s="14">
        <f>IF(MONTH(DATE($B$3,5,1)-WEEKDAY(DATE($B$3,5,1),1)+1+20)=5,DATE($B$3,5,1)-WEEKDAY(DATE($B$3,5,1),1)+1+20,"")</f>
        <v>46522.0</v>
      </c>
      <c r="O18" s="14">
        <f>IF(MONTH(DATE($B$3,6,1)-WEEKDAY(DATE($B$3,6,1),1)+1+14)=6,DATE($B$3,6,1)-WEEKDAY(DATE($B$3,6,1),1)+1+14,"")</f>
        <v>46551.0</v>
      </c>
      <c r="P18" s="14">
        <f>IF(MONTH(DATE($B$3,6,1)-WEEKDAY(DATE($B$3,6,1),1)+1+15)=6,DATE($B$3,6,1)-WEEKDAY(DATE($B$3,6,1),1)+1+15,"")</f>
        <v>46552.0</v>
      </c>
      <c r="Q18" s="14">
        <f>IF(MONTH(DATE($B$3,6,1)-WEEKDAY(DATE($B$3,6,1),1)+1+16)=6,DATE($B$3,6,1)-WEEKDAY(DATE($B$3,6,1),1)+1+16,"")</f>
        <v>46553.0</v>
      </c>
      <c r="R18" s="14">
        <f>IF(MONTH(DATE($B$3,6,1)-WEEKDAY(DATE($B$3,6,1),1)+1+17)=6,DATE($B$3,6,1)-WEEKDAY(DATE($B$3,6,1),1)+1+17,"")</f>
        <v>46554.0</v>
      </c>
      <c r="S18" s="14">
        <f>IF(MONTH(DATE($B$3,6,1)-WEEKDAY(DATE($B$3,6,1),1)+1+18)=6,DATE($B$3,6,1)-WEEKDAY(DATE($B$3,6,1),1)+1+18,"")</f>
        <v>46555.0</v>
      </c>
      <c r="T18" s="14">
        <f>IF(MONTH(DATE($B$3,6,1)-WEEKDAY(DATE($B$3,6,1),1)+1+19)=6,DATE($B$3,6,1)-WEEKDAY(DATE($B$3,6,1),1)+1+19,"")</f>
        <v>46556.0</v>
      </c>
      <c r="U18" s="14">
        <f>IF(MONTH(DATE($B$3,6,1)-WEEKDAY(DATE($B$3,6,1),1)+1+20)=6,DATE($B$3,6,1)-WEEKDAY(DATE($B$3,6,1),1)+1+20,"")</f>
        <v>46557.0</v>
      </c>
      <c r="X18" s="11">
        <f>$AC$5-48</f>
        <v>46426.0</v>
      </c>
      <c r="Y18" s="12" t="str">
        <f>CHOOSE(WEEKDAY(X18,1),"domingo","segunda","terça","quarta","quinta","sexta","sábado")</f>
        <v>segunda</v>
      </c>
      <c r="Z18" s="13" t="inlineStr">
        <is>
          <t>Segunda de Carnaval</t>
        </is>
      </c>
      <c r="AA18" s="13" t="inlineStr">
        <is>
          <t>Ponto facultativo; varia por cidade</t>
        </is>
      </c>
    </row>
    <row r="19">
      <c r="A19" s="14">
        <f>IF(MONTH(DATE($B$3,4,1)-WEEKDAY(DATE($B$3,4,1),1)+1+21)=4,DATE($B$3,4,1)-WEEKDAY(DATE($B$3,4,1),1)+1+21,"")</f>
        <v>46495.0</v>
      </c>
      <c r="B19" s="14">
        <f>IF(MONTH(DATE($B$3,4,1)-WEEKDAY(DATE($B$3,4,1),1)+1+22)=4,DATE($B$3,4,1)-WEEKDAY(DATE($B$3,4,1),1)+1+22,"")</f>
        <v>46496.0</v>
      </c>
      <c r="C19" s="14">
        <f>IF(MONTH(DATE($B$3,4,1)-WEEKDAY(DATE($B$3,4,1),1)+1+23)=4,DATE($B$3,4,1)-WEEKDAY(DATE($B$3,4,1),1)+1+23,"")</f>
        <v>46497.0</v>
      </c>
      <c r="D19" s="14">
        <f>IF(MONTH(DATE($B$3,4,1)-WEEKDAY(DATE($B$3,4,1),1)+1+24)=4,DATE($B$3,4,1)-WEEKDAY(DATE($B$3,4,1),1)+1+24,"")</f>
        <v>46498.0</v>
      </c>
      <c r="E19" s="14">
        <f>IF(MONTH(DATE($B$3,4,1)-WEEKDAY(DATE($B$3,4,1),1)+1+25)=4,DATE($B$3,4,1)-WEEKDAY(DATE($B$3,4,1),1)+1+25,"")</f>
        <v>46499.0</v>
      </c>
      <c r="F19" s="14">
        <f>IF(MONTH(DATE($B$3,4,1)-WEEKDAY(DATE($B$3,4,1),1)+1+26)=4,DATE($B$3,4,1)-WEEKDAY(DATE($B$3,4,1),1)+1+26,"")</f>
        <v>46500.0</v>
      </c>
      <c r="G19" s="14">
        <f>IF(MONTH(DATE($B$3,4,1)-WEEKDAY(DATE($B$3,4,1),1)+1+27)=4,DATE($B$3,4,1)-WEEKDAY(DATE($B$3,4,1),1)+1+27,"")</f>
        <v>46501.0</v>
      </c>
      <c r="H19" s="14">
        <f>IF(MONTH(DATE($B$3,5,1)-WEEKDAY(DATE($B$3,5,1),1)+1+21)=5,DATE($B$3,5,1)-WEEKDAY(DATE($B$3,5,1),1)+1+21,"")</f>
        <v>46523.0</v>
      </c>
      <c r="I19" s="14">
        <f>IF(MONTH(DATE($B$3,5,1)-WEEKDAY(DATE($B$3,5,1),1)+1+22)=5,DATE($B$3,5,1)-WEEKDAY(DATE($B$3,5,1),1)+1+22,"")</f>
        <v>46524.0</v>
      </c>
      <c r="J19" s="14">
        <f>IF(MONTH(DATE($B$3,5,1)-WEEKDAY(DATE($B$3,5,1),1)+1+23)=5,DATE($B$3,5,1)-WEEKDAY(DATE($B$3,5,1),1)+1+23,"")</f>
        <v>46525.0</v>
      </c>
      <c r="K19" s="14">
        <f>IF(MONTH(DATE($B$3,5,1)-WEEKDAY(DATE($B$3,5,1),1)+1+24)=5,DATE($B$3,5,1)-WEEKDAY(DATE($B$3,5,1),1)+1+24,"")</f>
        <v>46526.0</v>
      </c>
      <c r="L19" s="14">
        <f>IF(MONTH(DATE($B$3,5,1)-WEEKDAY(DATE($B$3,5,1),1)+1+25)=5,DATE($B$3,5,1)-WEEKDAY(DATE($B$3,5,1),1)+1+25,"")</f>
        <v>46527.0</v>
      </c>
      <c r="M19" s="14">
        <f>IF(MONTH(DATE($B$3,5,1)-WEEKDAY(DATE($B$3,5,1),1)+1+26)=5,DATE($B$3,5,1)-WEEKDAY(DATE($B$3,5,1),1)+1+26,"")</f>
        <v>46528.0</v>
      </c>
      <c r="N19" s="14">
        <f>IF(MONTH(DATE($B$3,5,1)-WEEKDAY(DATE($B$3,5,1),1)+1+27)=5,DATE($B$3,5,1)-WEEKDAY(DATE($B$3,5,1),1)+1+27,"")</f>
        <v>46529.0</v>
      </c>
      <c r="O19" s="14">
        <f>IF(MONTH(DATE($B$3,6,1)-WEEKDAY(DATE($B$3,6,1),1)+1+21)=6,DATE($B$3,6,1)-WEEKDAY(DATE($B$3,6,1),1)+1+21,"")</f>
        <v>46558.0</v>
      </c>
      <c r="P19" s="14">
        <f>IF(MONTH(DATE($B$3,6,1)-WEEKDAY(DATE($B$3,6,1),1)+1+22)=6,DATE($B$3,6,1)-WEEKDAY(DATE($B$3,6,1),1)+1+22,"")</f>
        <v>46559.0</v>
      </c>
      <c r="Q19" s="14">
        <f>IF(MONTH(DATE($B$3,6,1)-WEEKDAY(DATE($B$3,6,1),1)+1+23)=6,DATE($B$3,6,1)-WEEKDAY(DATE($B$3,6,1),1)+1+23,"")</f>
        <v>46560.0</v>
      </c>
      <c r="R19" s="14">
        <f>IF(MONTH(DATE($B$3,6,1)-WEEKDAY(DATE($B$3,6,1),1)+1+24)=6,DATE($B$3,6,1)-WEEKDAY(DATE($B$3,6,1),1)+1+24,"")</f>
        <v>46561.0</v>
      </c>
      <c r="S19" s="14">
        <f>IF(MONTH(DATE($B$3,6,1)-WEEKDAY(DATE($B$3,6,1),1)+1+25)=6,DATE($B$3,6,1)-WEEKDAY(DATE($B$3,6,1),1)+1+25,"")</f>
        <v>46562.0</v>
      </c>
      <c r="T19" s="14">
        <f>IF(MONTH(DATE($B$3,6,1)-WEEKDAY(DATE($B$3,6,1),1)+1+26)=6,DATE($B$3,6,1)-WEEKDAY(DATE($B$3,6,1),1)+1+26,"")</f>
        <v>46563.0</v>
      </c>
      <c r="U19" s="14">
        <f>IF(MONTH(DATE($B$3,6,1)-WEEKDAY(DATE($B$3,6,1),1)+1+27)=6,DATE($B$3,6,1)-WEEKDAY(DATE($B$3,6,1),1)+1+27,"")</f>
        <v>46564.0</v>
      </c>
      <c r="X19" s="11">
        <f>$AC$5-47</f>
        <v>46427.0</v>
      </c>
      <c r="Y19" s="12" t="str">
        <f>CHOOSE(WEEKDAY(X19,1),"domingo","segunda","terça","quarta","quinta","sexta","sábado")</f>
        <v>terça</v>
      </c>
      <c r="Z19" s="13" t="inlineStr">
        <is>
          <t>Terça de Carnaval</t>
        </is>
      </c>
      <c r="AA19" s="13" t="inlineStr">
        <is>
          <t>Ponto facultativo; varia por cidade</t>
        </is>
      </c>
    </row>
    <row r="20">
      <c r="A20" s="14">
        <f>IF(MONTH(DATE($B$3,4,1)-WEEKDAY(DATE($B$3,4,1),1)+1+28)=4,DATE($B$3,4,1)-WEEKDAY(DATE($B$3,4,1),1)+1+28,"")</f>
        <v>46502.0</v>
      </c>
      <c r="B20" s="14">
        <f>IF(MONTH(DATE($B$3,4,1)-WEEKDAY(DATE($B$3,4,1),1)+1+29)=4,DATE($B$3,4,1)-WEEKDAY(DATE($B$3,4,1),1)+1+29,"")</f>
        <v>46503.0</v>
      </c>
      <c r="C20" s="14">
        <f>IF(MONTH(DATE($B$3,4,1)-WEEKDAY(DATE($B$3,4,1),1)+1+30)=4,DATE($B$3,4,1)-WEEKDAY(DATE($B$3,4,1),1)+1+30,"")</f>
        <v>46504.0</v>
      </c>
      <c r="D20" s="14">
        <f>IF(MONTH(DATE($B$3,4,1)-WEEKDAY(DATE($B$3,4,1),1)+1+31)=4,DATE($B$3,4,1)-WEEKDAY(DATE($B$3,4,1),1)+1+31,"")</f>
        <v>46505.0</v>
      </c>
      <c r="E20" s="14">
        <f>IF(MONTH(DATE($B$3,4,1)-WEEKDAY(DATE($B$3,4,1),1)+1+32)=4,DATE($B$3,4,1)-WEEKDAY(DATE($B$3,4,1),1)+1+32,"")</f>
        <v>46506.0</v>
      </c>
      <c r="F20" s="14">
        <f>IF(MONTH(DATE($B$3,4,1)-WEEKDAY(DATE($B$3,4,1),1)+1+33)=4,DATE($B$3,4,1)-WEEKDAY(DATE($B$3,4,1),1)+1+33,"")</f>
        <v>46507.0</v>
      </c>
      <c r="G20" s="14" t="str">
        <f>IF(MONTH(DATE($B$3,4,1)-WEEKDAY(DATE($B$3,4,1),1)+1+34)=4,DATE($B$3,4,1)-WEEKDAY(DATE($B$3,4,1),1)+1+34,"")</f>
        <v/>
      </c>
      <c r="H20" s="14">
        <f>IF(MONTH(DATE($B$3,5,1)-WEEKDAY(DATE($B$3,5,1),1)+1+28)=5,DATE($B$3,5,1)-WEEKDAY(DATE($B$3,5,1),1)+1+28,"")</f>
        <v>46530.0</v>
      </c>
      <c r="I20" s="14">
        <f>IF(MONTH(DATE($B$3,5,1)-WEEKDAY(DATE($B$3,5,1),1)+1+29)=5,DATE($B$3,5,1)-WEEKDAY(DATE($B$3,5,1),1)+1+29,"")</f>
        <v>46531.0</v>
      </c>
      <c r="J20" s="14">
        <f>IF(MONTH(DATE($B$3,5,1)-WEEKDAY(DATE($B$3,5,1),1)+1+30)=5,DATE($B$3,5,1)-WEEKDAY(DATE($B$3,5,1),1)+1+30,"")</f>
        <v>46532.0</v>
      </c>
      <c r="K20" s="14">
        <f>IF(MONTH(DATE($B$3,5,1)-WEEKDAY(DATE($B$3,5,1),1)+1+31)=5,DATE($B$3,5,1)-WEEKDAY(DATE($B$3,5,1),1)+1+31,"")</f>
        <v>46533.0</v>
      </c>
      <c r="L20" s="14">
        <f>IF(MONTH(DATE($B$3,5,1)-WEEKDAY(DATE($B$3,5,1),1)+1+32)=5,DATE($B$3,5,1)-WEEKDAY(DATE($B$3,5,1),1)+1+32,"")</f>
        <v>46534.0</v>
      </c>
      <c r="M20" s="14">
        <f>IF(MONTH(DATE($B$3,5,1)-WEEKDAY(DATE($B$3,5,1),1)+1+33)=5,DATE($B$3,5,1)-WEEKDAY(DATE($B$3,5,1),1)+1+33,"")</f>
        <v>46535.0</v>
      </c>
      <c r="N20" s="14">
        <f>IF(MONTH(DATE($B$3,5,1)-WEEKDAY(DATE($B$3,5,1),1)+1+34)=5,DATE($B$3,5,1)-WEEKDAY(DATE($B$3,5,1),1)+1+34,"")</f>
        <v>46536.0</v>
      </c>
      <c r="O20" s="14">
        <f>IF(MONTH(DATE($B$3,6,1)-WEEKDAY(DATE($B$3,6,1),1)+1+28)=6,DATE($B$3,6,1)-WEEKDAY(DATE($B$3,6,1),1)+1+28,"")</f>
        <v>46565.0</v>
      </c>
      <c r="P20" s="14">
        <f>IF(MONTH(DATE($B$3,6,1)-WEEKDAY(DATE($B$3,6,1),1)+1+29)=6,DATE($B$3,6,1)-WEEKDAY(DATE($B$3,6,1),1)+1+29,"")</f>
        <v>46566.0</v>
      </c>
      <c r="Q20" s="14">
        <f>IF(MONTH(DATE($B$3,6,1)-WEEKDAY(DATE($B$3,6,1),1)+1+30)=6,DATE($B$3,6,1)-WEEKDAY(DATE($B$3,6,1),1)+1+30,"")</f>
        <v>46567.0</v>
      </c>
      <c r="R20" s="14">
        <f>IF(MONTH(DATE($B$3,6,1)-WEEKDAY(DATE($B$3,6,1),1)+1+31)=6,DATE($B$3,6,1)-WEEKDAY(DATE($B$3,6,1),1)+1+31,"")</f>
        <v>46568.0</v>
      </c>
      <c r="S20" s="14" t="str">
        <f>IF(MONTH(DATE($B$3,6,1)-WEEKDAY(DATE($B$3,6,1),1)+1+32)=6,DATE($B$3,6,1)-WEEKDAY(DATE($B$3,6,1),1)+1+32,"")</f>
        <v/>
      </c>
      <c r="T20" s="14" t="str">
        <f>IF(MONTH(DATE($B$3,6,1)-WEEKDAY(DATE($B$3,6,1),1)+1+33)=6,DATE($B$3,6,1)-WEEKDAY(DATE($B$3,6,1),1)+1+33,"")</f>
        <v/>
      </c>
      <c r="U20" s="14" t="str">
        <f>IF(MONTH(DATE($B$3,6,1)-WEEKDAY(DATE($B$3,6,1),1)+1+34)=6,DATE($B$3,6,1)-WEEKDAY(DATE($B$3,6,1),1)+1+34,"")</f>
        <v/>
      </c>
      <c r="X20" s="11">
        <f>$AC$5-2</f>
        <v>46472.0</v>
      </c>
      <c r="Y20" s="12" t="str">
        <f>CHOOSE(WEEKDAY(X20,1),"domingo","segunda","terça","quarta","quinta","sexta","sábado")</f>
        <v>sexta</v>
      </c>
      <c r="Z20" s="13" t="inlineStr">
        <is>
          <t>Sexta-feira da Paixão</t>
        </is>
      </c>
      <c r="AA20" s="13" t="inlineStr">
        <is>
          <t>Feriado religioso por lei municipal</t>
        </is>
      </c>
    </row>
    <row r="21">
      <c r="A21" s="14" t="str">
        <f>IF(MONTH(DATE($B$3,4,1)-WEEKDAY(DATE($B$3,4,1),1)+1+35)=4,DATE($B$3,4,1)-WEEKDAY(DATE($B$3,4,1),1)+1+35,"")</f>
        <v/>
      </c>
      <c r="B21" s="14" t="str">
        <f>IF(MONTH(DATE($B$3,4,1)-WEEKDAY(DATE($B$3,4,1),1)+1+36)=4,DATE($B$3,4,1)-WEEKDAY(DATE($B$3,4,1),1)+1+36,"")</f>
        <v/>
      </c>
      <c r="C21" s="14" t="str">
        <f>IF(MONTH(DATE($B$3,4,1)-WEEKDAY(DATE($B$3,4,1),1)+1+37)=4,DATE($B$3,4,1)-WEEKDAY(DATE($B$3,4,1),1)+1+37,"")</f>
        <v/>
      </c>
      <c r="D21" s="14" t="str">
        <f>IF(MONTH(DATE($B$3,4,1)-WEEKDAY(DATE($B$3,4,1),1)+1+38)=4,DATE($B$3,4,1)-WEEKDAY(DATE($B$3,4,1),1)+1+38,"")</f>
        <v/>
      </c>
      <c r="E21" s="14" t="str">
        <f>IF(MONTH(DATE($B$3,4,1)-WEEKDAY(DATE($B$3,4,1),1)+1+39)=4,DATE($B$3,4,1)-WEEKDAY(DATE($B$3,4,1),1)+1+39,"")</f>
        <v/>
      </c>
      <c r="F21" s="14" t="str">
        <f>IF(MONTH(DATE($B$3,4,1)-WEEKDAY(DATE($B$3,4,1),1)+1+40)=4,DATE($B$3,4,1)-WEEKDAY(DATE($B$3,4,1),1)+1+40,"")</f>
        <v/>
      </c>
      <c r="G21" s="14" t="str">
        <f>IF(MONTH(DATE($B$3,4,1)-WEEKDAY(DATE($B$3,4,1),1)+1+41)=4,DATE($B$3,4,1)-WEEKDAY(DATE($B$3,4,1),1)+1+41,"")</f>
        <v/>
      </c>
      <c r="H21" s="14">
        <f>IF(MONTH(DATE($B$3,5,1)-WEEKDAY(DATE($B$3,5,1),1)+1+35)=5,DATE($B$3,5,1)-WEEKDAY(DATE($B$3,5,1),1)+1+35,"")</f>
        <v>46537.0</v>
      </c>
      <c r="I21" s="14">
        <f>IF(MONTH(DATE($B$3,5,1)-WEEKDAY(DATE($B$3,5,1),1)+1+36)=5,DATE($B$3,5,1)-WEEKDAY(DATE($B$3,5,1),1)+1+36,"")</f>
        <v>46538.0</v>
      </c>
      <c r="J21" s="14" t="str">
        <f>IF(MONTH(DATE($B$3,5,1)-WEEKDAY(DATE($B$3,5,1),1)+1+37)=5,DATE($B$3,5,1)-WEEKDAY(DATE($B$3,5,1),1)+1+37,"")</f>
        <v/>
      </c>
      <c r="K21" s="14" t="str">
        <f>IF(MONTH(DATE($B$3,5,1)-WEEKDAY(DATE($B$3,5,1),1)+1+38)=5,DATE($B$3,5,1)-WEEKDAY(DATE($B$3,5,1),1)+1+38,"")</f>
        <v/>
      </c>
      <c r="L21" s="14" t="str">
        <f>IF(MONTH(DATE($B$3,5,1)-WEEKDAY(DATE($B$3,5,1),1)+1+39)=5,DATE($B$3,5,1)-WEEKDAY(DATE($B$3,5,1),1)+1+39,"")</f>
        <v/>
      </c>
      <c r="M21" s="14" t="str">
        <f>IF(MONTH(DATE($B$3,5,1)-WEEKDAY(DATE($B$3,5,1),1)+1+40)=5,DATE($B$3,5,1)-WEEKDAY(DATE($B$3,5,1),1)+1+40,"")</f>
        <v/>
      </c>
      <c r="N21" s="14" t="str">
        <f>IF(MONTH(DATE($B$3,5,1)-WEEKDAY(DATE($B$3,5,1),1)+1+41)=5,DATE($B$3,5,1)-WEEKDAY(DATE($B$3,5,1),1)+1+41,"")</f>
        <v/>
      </c>
      <c r="O21" s="14" t="str">
        <f>IF(MONTH(DATE($B$3,6,1)-WEEKDAY(DATE($B$3,6,1),1)+1+35)=6,DATE($B$3,6,1)-WEEKDAY(DATE($B$3,6,1),1)+1+35,"")</f>
        <v/>
      </c>
      <c r="P21" s="14" t="str">
        <f>IF(MONTH(DATE($B$3,6,1)-WEEKDAY(DATE($B$3,6,1),1)+1+36)=6,DATE($B$3,6,1)-WEEKDAY(DATE($B$3,6,1),1)+1+36,"")</f>
        <v/>
      </c>
      <c r="Q21" s="14" t="str">
        <f>IF(MONTH(DATE($B$3,6,1)-WEEKDAY(DATE($B$3,6,1),1)+1+37)=6,DATE($B$3,6,1)-WEEKDAY(DATE($B$3,6,1),1)+1+37,"")</f>
        <v/>
      </c>
      <c r="R21" s="14" t="str">
        <f>IF(MONTH(DATE($B$3,6,1)-WEEKDAY(DATE($B$3,6,1),1)+1+38)=6,DATE($B$3,6,1)-WEEKDAY(DATE($B$3,6,1),1)+1+38,"")</f>
        <v/>
      </c>
      <c r="S21" s="14" t="str">
        <f>IF(MONTH(DATE($B$3,6,1)-WEEKDAY(DATE($B$3,6,1),1)+1+39)=6,DATE($B$3,6,1)-WEEKDAY(DATE($B$3,6,1),1)+1+39,"")</f>
        <v/>
      </c>
      <c r="T21" s="14" t="str">
        <f>IF(MONTH(DATE($B$3,6,1)-WEEKDAY(DATE($B$3,6,1),1)+1+40)=6,DATE($B$3,6,1)-WEEKDAY(DATE($B$3,6,1),1)+1+40,"")</f>
        <v/>
      </c>
      <c r="U21" s="14" t="str">
        <f>IF(MONTH(DATE($B$3,6,1)-WEEKDAY(DATE($B$3,6,1),1)+1+41)=6,DATE($B$3,6,1)-WEEKDAY(DATE($B$3,6,1),1)+1+41,"")</f>
        <v/>
      </c>
      <c r="X21" s="11">
        <f>$AC$5+60</f>
        <v>46534.0</v>
      </c>
      <c r="Y21" s="12" t="str">
        <f>CHOOSE(WEEKDAY(X21,1),"domingo","segunda","terça","quarta","quinta","sexta","sábado")</f>
        <v>quinta</v>
      </c>
      <c r="Z21" s="13" t="inlineStr">
        <is>
          <t>Corpus Christi</t>
        </is>
      </c>
      <c r="AA21" s="13" t="inlineStr">
        <is>
          <t>Ponto facultativo; varia por cidade</t>
        </is>
      </c>
    </row>
    <row r="22"/>
    <row r="23" ht="22" customHeight="1">
      <c r="A23" s="7" t="inlineStr">
        <is>
          <t>Julho</t>
        </is>
      </c>
      <c r="H23" s="7" t="inlineStr">
        <is>
          <t>Agosto</t>
        </is>
      </c>
      <c r="O23" s="7" t="inlineStr">
        <is>
          <t>Setembro</t>
        </is>
      </c>
    </row>
    <row r="24">
      <c r="A24" s="10" t="inlineStr">
        <is>
          <t>D</t>
        </is>
      </c>
      <c r="B24" s="10" t="inlineStr">
        <is>
          <t>S</t>
        </is>
      </c>
      <c r="C24" s="10" t="inlineStr">
        <is>
          <t>T</t>
        </is>
      </c>
      <c r="D24" s="10" t="inlineStr">
        <is>
          <t>Q</t>
        </is>
      </c>
      <c r="E24" s="10" t="inlineStr">
        <is>
          <t>Q</t>
        </is>
      </c>
      <c r="F24" s="10" t="inlineStr">
        <is>
          <t>S</t>
        </is>
      </c>
      <c r="G24" s="10" t="inlineStr">
        <is>
          <t>S</t>
        </is>
      </c>
      <c r="H24" s="10" t="inlineStr">
        <is>
          <t>D</t>
        </is>
      </c>
      <c r="I24" s="10" t="inlineStr">
        <is>
          <t>S</t>
        </is>
      </c>
      <c r="J24" s="10" t="inlineStr">
        <is>
          <t>T</t>
        </is>
      </c>
      <c r="K24" s="10" t="inlineStr">
        <is>
          <t>Q</t>
        </is>
      </c>
      <c r="L24" s="10" t="inlineStr">
        <is>
          <t>Q</t>
        </is>
      </c>
      <c r="M24" s="10" t="inlineStr">
        <is>
          <t>S</t>
        </is>
      </c>
      <c r="N24" s="10" t="inlineStr">
        <is>
          <t>S</t>
        </is>
      </c>
      <c r="O24" s="10" t="inlineStr">
        <is>
          <t>D</t>
        </is>
      </c>
      <c r="P24" s="10" t="inlineStr">
        <is>
          <t>S</t>
        </is>
      </c>
      <c r="Q24" s="10" t="inlineStr">
        <is>
          <t>T</t>
        </is>
      </c>
      <c r="R24" s="10" t="inlineStr">
        <is>
          <t>Q</t>
        </is>
      </c>
      <c r="S24" s="10" t="inlineStr">
        <is>
          <t>Q</t>
        </is>
      </c>
      <c r="T24" s="10" t="inlineStr">
        <is>
          <t>S</t>
        </is>
      </c>
      <c r="U24" s="10" t="inlineStr">
        <is>
          <t>S</t>
        </is>
      </c>
    </row>
    <row r="25">
      <c r="A25" s="14" t="str">
        <f>IF(MONTH(DATE($B$3,7,1)-WEEKDAY(DATE($B$3,7,1),1)+1+0)=7,DATE($B$3,7,1)-WEEKDAY(DATE($B$3,7,1),1)+1+0,"")</f>
        <v/>
      </c>
      <c r="B25" s="14" t="str">
        <f>IF(MONTH(DATE($B$3,7,1)-WEEKDAY(DATE($B$3,7,1),1)+1+1)=7,DATE($B$3,7,1)-WEEKDAY(DATE($B$3,7,1),1)+1+1,"")</f>
        <v/>
      </c>
      <c r="C25" s="14" t="str">
        <f>IF(MONTH(DATE($B$3,7,1)-WEEKDAY(DATE($B$3,7,1),1)+1+2)=7,DATE($B$3,7,1)-WEEKDAY(DATE($B$3,7,1),1)+1+2,"")</f>
        <v/>
      </c>
      <c r="D25" s="14" t="str">
        <f>IF(MONTH(DATE($B$3,7,1)-WEEKDAY(DATE($B$3,7,1),1)+1+3)=7,DATE($B$3,7,1)-WEEKDAY(DATE($B$3,7,1),1)+1+3,"")</f>
        <v/>
      </c>
      <c r="E25" s="14">
        <f>IF(MONTH(DATE($B$3,7,1)-WEEKDAY(DATE($B$3,7,1),1)+1+4)=7,DATE($B$3,7,1)-WEEKDAY(DATE($B$3,7,1),1)+1+4,"")</f>
        <v>46569.0</v>
      </c>
      <c r="F25" s="14">
        <f>IF(MONTH(DATE($B$3,7,1)-WEEKDAY(DATE($B$3,7,1),1)+1+5)=7,DATE($B$3,7,1)-WEEKDAY(DATE($B$3,7,1),1)+1+5,"")</f>
        <v>46570.0</v>
      </c>
      <c r="G25" s="14">
        <f>IF(MONTH(DATE($B$3,7,1)-WEEKDAY(DATE($B$3,7,1),1)+1+6)=7,DATE($B$3,7,1)-WEEKDAY(DATE($B$3,7,1),1)+1+6,"")</f>
        <v>46571.0</v>
      </c>
      <c r="H25" s="14">
        <f>IF(MONTH(DATE($B$3,8,1)-WEEKDAY(DATE($B$3,8,1),1)+1+0)=8,DATE($B$3,8,1)-WEEKDAY(DATE($B$3,8,1),1)+1+0,"")</f>
        <v>46600.0</v>
      </c>
      <c r="I25" s="14">
        <f>IF(MONTH(DATE($B$3,8,1)-WEEKDAY(DATE($B$3,8,1),1)+1+1)=8,DATE($B$3,8,1)-WEEKDAY(DATE($B$3,8,1),1)+1+1,"")</f>
        <v>46601.0</v>
      </c>
      <c r="J25" s="14">
        <f>IF(MONTH(DATE($B$3,8,1)-WEEKDAY(DATE($B$3,8,1),1)+1+2)=8,DATE($B$3,8,1)-WEEKDAY(DATE($B$3,8,1),1)+1+2,"")</f>
        <v>46602.0</v>
      </c>
      <c r="K25" s="14">
        <f>IF(MONTH(DATE($B$3,8,1)-WEEKDAY(DATE($B$3,8,1),1)+1+3)=8,DATE($B$3,8,1)-WEEKDAY(DATE($B$3,8,1),1)+1+3,"")</f>
        <v>46603.0</v>
      </c>
      <c r="L25" s="14">
        <f>IF(MONTH(DATE($B$3,8,1)-WEEKDAY(DATE($B$3,8,1),1)+1+4)=8,DATE($B$3,8,1)-WEEKDAY(DATE($B$3,8,1),1)+1+4,"")</f>
        <v>46604.0</v>
      </c>
      <c r="M25" s="14">
        <f>IF(MONTH(DATE($B$3,8,1)-WEEKDAY(DATE($B$3,8,1),1)+1+5)=8,DATE($B$3,8,1)-WEEKDAY(DATE($B$3,8,1),1)+1+5,"")</f>
        <v>46605.0</v>
      </c>
      <c r="N25" s="14">
        <f>IF(MONTH(DATE($B$3,8,1)-WEEKDAY(DATE($B$3,8,1),1)+1+6)=8,DATE($B$3,8,1)-WEEKDAY(DATE($B$3,8,1),1)+1+6,"")</f>
        <v>46606.0</v>
      </c>
      <c r="O25" s="14" t="str">
        <f>IF(MONTH(DATE($B$3,9,1)-WEEKDAY(DATE($B$3,9,1),1)+1+0)=9,DATE($B$3,9,1)-WEEKDAY(DATE($B$3,9,1),1)+1+0,"")</f>
        <v/>
      </c>
      <c r="P25" s="14" t="str">
        <f>IF(MONTH(DATE($B$3,9,1)-WEEKDAY(DATE($B$3,9,1),1)+1+1)=9,DATE($B$3,9,1)-WEEKDAY(DATE($B$3,9,1),1)+1+1,"")</f>
        <v/>
      </c>
      <c r="Q25" s="14" t="str">
        <f>IF(MONTH(DATE($B$3,9,1)-WEEKDAY(DATE($B$3,9,1),1)+1+2)=9,DATE($B$3,9,1)-WEEKDAY(DATE($B$3,9,1),1)+1+2,"")</f>
        <v/>
      </c>
      <c r="R25" s="14">
        <f>IF(MONTH(DATE($B$3,9,1)-WEEKDAY(DATE($B$3,9,1),1)+1+3)=9,DATE($B$3,9,1)-WEEKDAY(DATE($B$3,9,1),1)+1+3,"")</f>
        <v>46631.0</v>
      </c>
      <c r="S25" s="14">
        <f>IF(MONTH(DATE($B$3,9,1)-WEEKDAY(DATE($B$3,9,1),1)+1+4)=9,DATE($B$3,9,1)-WEEKDAY(DATE($B$3,9,1),1)+1+4,"")</f>
        <v>46632.0</v>
      </c>
      <c r="T25" s="14">
        <f>IF(MONTH(DATE($B$3,9,1)-WEEKDAY(DATE($B$3,9,1),1)+1+5)=9,DATE($B$3,9,1)-WEEKDAY(DATE($B$3,9,1),1)+1+5,"")</f>
        <v>46633.0</v>
      </c>
      <c r="U25" s="14">
        <f>IF(MONTH(DATE($B$3,9,1)-WEEKDAY(DATE($B$3,9,1),1)+1+6)=9,DATE($B$3,9,1)-WEEKDAY(DATE($B$3,9,1),1)+1+6,"")</f>
        <v>46634.0</v>
      </c>
    </row>
    <row r="26">
      <c r="A26" s="14">
        <f>IF(MONTH(DATE($B$3,7,1)-WEEKDAY(DATE($B$3,7,1),1)+1+7)=7,DATE($B$3,7,1)-WEEKDAY(DATE($B$3,7,1),1)+1+7,"")</f>
        <v>46572.0</v>
      </c>
      <c r="B26" s="14">
        <f>IF(MONTH(DATE($B$3,7,1)-WEEKDAY(DATE($B$3,7,1),1)+1+8)=7,DATE($B$3,7,1)-WEEKDAY(DATE($B$3,7,1),1)+1+8,"")</f>
        <v>46573.0</v>
      </c>
      <c r="C26" s="14">
        <f>IF(MONTH(DATE($B$3,7,1)-WEEKDAY(DATE($B$3,7,1),1)+1+9)=7,DATE($B$3,7,1)-WEEKDAY(DATE($B$3,7,1),1)+1+9,"")</f>
        <v>46574.0</v>
      </c>
      <c r="D26" s="14">
        <f>IF(MONTH(DATE($B$3,7,1)-WEEKDAY(DATE($B$3,7,1),1)+1+10)=7,DATE($B$3,7,1)-WEEKDAY(DATE($B$3,7,1),1)+1+10,"")</f>
        <v>46575.0</v>
      </c>
      <c r="E26" s="14">
        <f>IF(MONTH(DATE($B$3,7,1)-WEEKDAY(DATE($B$3,7,1),1)+1+11)=7,DATE($B$3,7,1)-WEEKDAY(DATE($B$3,7,1),1)+1+11,"")</f>
        <v>46576.0</v>
      </c>
      <c r="F26" s="14">
        <f>IF(MONTH(DATE($B$3,7,1)-WEEKDAY(DATE($B$3,7,1),1)+1+12)=7,DATE($B$3,7,1)-WEEKDAY(DATE($B$3,7,1),1)+1+12,"")</f>
        <v>46577.0</v>
      </c>
      <c r="G26" s="14">
        <f>IF(MONTH(DATE($B$3,7,1)-WEEKDAY(DATE($B$3,7,1),1)+1+13)=7,DATE($B$3,7,1)-WEEKDAY(DATE($B$3,7,1),1)+1+13,"")</f>
        <v>46578.0</v>
      </c>
      <c r="H26" s="14">
        <f>IF(MONTH(DATE($B$3,8,1)-WEEKDAY(DATE($B$3,8,1),1)+1+7)=8,DATE($B$3,8,1)-WEEKDAY(DATE($B$3,8,1),1)+1+7,"")</f>
        <v>46607.0</v>
      </c>
      <c r="I26" s="14">
        <f>IF(MONTH(DATE($B$3,8,1)-WEEKDAY(DATE($B$3,8,1),1)+1+8)=8,DATE($B$3,8,1)-WEEKDAY(DATE($B$3,8,1),1)+1+8,"")</f>
        <v>46608.0</v>
      </c>
      <c r="J26" s="14">
        <f>IF(MONTH(DATE($B$3,8,1)-WEEKDAY(DATE($B$3,8,1),1)+1+9)=8,DATE($B$3,8,1)-WEEKDAY(DATE($B$3,8,1),1)+1+9,"")</f>
        <v>46609.0</v>
      </c>
      <c r="K26" s="14">
        <f>IF(MONTH(DATE($B$3,8,1)-WEEKDAY(DATE($B$3,8,1),1)+1+10)=8,DATE($B$3,8,1)-WEEKDAY(DATE($B$3,8,1),1)+1+10,"")</f>
        <v>46610.0</v>
      </c>
      <c r="L26" s="14">
        <f>IF(MONTH(DATE($B$3,8,1)-WEEKDAY(DATE($B$3,8,1),1)+1+11)=8,DATE($B$3,8,1)-WEEKDAY(DATE($B$3,8,1),1)+1+11,"")</f>
        <v>46611.0</v>
      </c>
      <c r="M26" s="14">
        <f>IF(MONTH(DATE($B$3,8,1)-WEEKDAY(DATE($B$3,8,1),1)+1+12)=8,DATE($B$3,8,1)-WEEKDAY(DATE($B$3,8,1),1)+1+12,"")</f>
        <v>46612.0</v>
      </c>
      <c r="N26" s="14">
        <f>IF(MONTH(DATE($B$3,8,1)-WEEKDAY(DATE($B$3,8,1),1)+1+13)=8,DATE($B$3,8,1)-WEEKDAY(DATE($B$3,8,1),1)+1+13,"")</f>
        <v>46613.0</v>
      </c>
      <c r="O26" s="14">
        <f>IF(MONTH(DATE($B$3,9,1)-WEEKDAY(DATE($B$3,9,1),1)+1+7)=9,DATE($B$3,9,1)-WEEKDAY(DATE($B$3,9,1),1)+1+7,"")</f>
        <v>46635.0</v>
      </c>
      <c r="P26" s="14">
        <f>IF(MONTH(DATE($B$3,9,1)-WEEKDAY(DATE($B$3,9,1),1)+1+8)=9,DATE($B$3,9,1)-WEEKDAY(DATE($B$3,9,1),1)+1+8,"")</f>
        <v>46636.0</v>
      </c>
      <c r="Q26" s="14">
        <f>IF(MONTH(DATE($B$3,9,1)-WEEKDAY(DATE($B$3,9,1),1)+1+9)=9,DATE($B$3,9,1)-WEEKDAY(DATE($B$3,9,1),1)+1+9,"")</f>
        <v>46637.0</v>
      </c>
      <c r="R26" s="14">
        <f>IF(MONTH(DATE($B$3,9,1)-WEEKDAY(DATE($B$3,9,1),1)+1+10)=9,DATE($B$3,9,1)-WEEKDAY(DATE($B$3,9,1),1)+1+10,"")</f>
        <v>46638.0</v>
      </c>
      <c r="S26" s="14">
        <f>IF(MONTH(DATE($B$3,9,1)-WEEKDAY(DATE($B$3,9,1),1)+1+11)=9,DATE($B$3,9,1)-WEEKDAY(DATE($B$3,9,1),1)+1+11,"")</f>
        <v>46639.0</v>
      </c>
      <c r="T26" s="14">
        <f>IF(MONTH(DATE($B$3,9,1)-WEEKDAY(DATE($B$3,9,1),1)+1+12)=9,DATE($B$3,9,1)-WEEKDAY(DATE($B$3,9,1),1)+1+12,"")</f>
        <v>46640.0</v>
      </c>
      <c r="U26" s="14">
        <f>IF(MONTH(DATE($B$3,9,1)-WEEKDAY(DATE($B$3,9,1),1)+1+13)=9,DATE($B$3,9,1)-WEEKDAY(DATE($B$3,9,1),1)+1+13,"")</f>
        <v>46641.0</v>
      </c>
    </row>
    <row r="27">
      <c r="A27" s="14">
        <f>IF(MONTH(DATE($B$3,7,1)-WEEKDAY(DATE($B$3,7,1),1)+1+14)=7,DATE($B$3,7,1)-WEEKDAY(DATE($B$3,7,1),1)+1+14,"")</f>
        <v>46579.0</v>
      </c>
      <c r="B27" s="14">
        <f>IF(MONTH(DATE($B$3,7,1)-WEEKDAY(DATE($B$3,7,1),1)+1+15)=7,DATE($B$3,7,1)-WEEKDAY(DATE($B$3,7,1),1)+1+15,"")</f>
        <v>46580.0</v>
      </c>
      <c r="C27" s="14">
        <f>IF(MONTH(DATE($B$3,7,1)-WEEKDAY(DATE($B$3,7,1),1)+1+16)=7,DATE($B$3,7,1)-WEEKDAY(DATE($B$3,7,1),1)+1+16,"")</f>
        <v>46581.0</v>
      </c>
      <c r="D27" s="14">
        <f>IF(MONTH(DATE($B$3,7,1)-WEEKDAY(DATE($B$3,7,1),1)+1+17)=7,DATE($B$3,7,1)-WEEKDAY(DATE($B$3,7,1),1)+1+17,"")</f>
        <v>46582.0</v>
      </c>
      <c r="E27" s="14">
        <f>IF(MONTH(DATE($B$3,7,1)-WEEKDAY(DATE($B$3,7,1),1)+1+18)=7,DATE($B$3,7,1)-WEEKDAY(DATE($B$3,7,1),1)+1+18,"")</f>
        <v>46583.0</v>
      </c>
      <c r="F27" s="14">
        <f>IF(MONTH(DATE($B$3,7,1)-WEEKDAY(DATE($B$3,7,1),1)+1+19)=7,DATE($B$3,7,1)-WEEKDAY(DATE($B$3,7,1),1)+1+19,"")</f>
        <v>46584.0</v>
      </c>
      <c r="G27" s="14">
        <f>IF(MONTH(DATE($B$3,7,1)-WEEKDAY(DATE($B$3,7,1),1)+1+20)=7,DATE($B$3,7,1)-WEEKDAY(DATE($B$3,7,1),1)+1+20,"")</f>
        <v>46585.0</v>
      </c>
      <c r="H27" s="14">
        <f>IF(MONTH(DATE($B$3,8,1)-WEEKDAY(DATE($B$3,8,1),1)+1+14)=8,DATE($B$3,8,1)-WEEKDAY(DATE($B$3,8,1),1)+1+14,"")</f>
        <v>46614.0</v>
      </c>
      <c r="I27" s="14">
        <f>IF(MONTH(DATE($B$3,8,1)-WEEKDAY(DATE($B$3,8,1),1)+1+15)=8,DATE($B$3,8,1)-WEEKDAY(DATE($B$3,8,1),1)+1+15,"")</f>
        <v>46615.0</v>
      </c>
      <c r="J27" s="14">
        <f>IF(MONTH(DATE($B$3,8,1)-WEEKDAY(DATE($B$3,8,1),1)+1+16)=8,DATE($B$3,8,1)-WEEKDAY(DATE($B$3,8,1),1)+1+16,"")</f>
        <v>46616.0</v>
      </c>
      <c r="K27" s="14">
        <f>IF(MONTH(DATE($B$3,8,1)-WEEKDAY(DATE($B$3,8,1),1)+1+17)=8,DATE($B$3,8,1)-WEEKDAY(DATE($B$3,8,1),1)+1+17,"")</f>
        <v>46617.0</v>
      </c>
      <c r="L27" s="14">
        <f>IF(MONTH(DATE($B$3,8,1)-WEEKDAY(DATE($B$3,8,1),1)+1+18)=8,DATE($B$3,8,1)-WEEKDAY(DATE($B$3,8,1),1)+1+18,"")</f>
        <v>46618.0</v>
      </c>
      <c r="M27" s="14">
        <f>IF(MONTH(DATE($B$3,8,1)-WEEKDAY(DATE($B$3,8,1),1)+1+19)=8,DATE($B$3,8,1)-WEEKDAY(DATE($B$3,8,1),1)+1+19,"")</f>
        <v>46619.0</v>
      </c>
      <c r="N27" s="14">
        <f>IF(MONTH(DATE($B$3,8,1)-WEEKDAY(DATE($B$3,8,1),1)+1+20)=8,DATE($B$3,8,1)-WEEKDAY(DATE($B$3,8,1),1)+1+20,"")</f>
        <v>46620.0</v>
      </c>
      <c r="O27" s="14">
        <f>IF(MONTH(DATE($B$3,9,1)-WEEKDAY(DATE($B$3,9,1),1)+1+14)=9,DATE($B$3,9,1)-WEEKDAY(DATE($B$3,9,1),1)+1+14,"")</f>
        <v>46642.0</v>
      </c>
      <c r="P27" s="14">
        <f>IF(MONTH(DATE($B$3,9,1)-WEEKDAY(DATE($B$3,9,1),1)+1+15)=9,DATE($B$3,9,1)-WEEKDAY(DATE($B$3,9,1),1)+1+15,"")</f>
        <v>46643.0</v>
      </c>
      <c r="Q27" s="14">
        <f>IF(MONTH(DATE($B$3,9,1)-WEEKDAY(DATE($B$3,9,1),1)+1+16)=9,DATE($B$3,9,1)-WEEKDAY(DATE($B$3,9,1),1)+1+16,"")</f>
        <v>46644.0</v>
      </c>
      <c r="R27" s="14">
        <f>IF(MONTH(DATE($B$3,9,1)-WEEKDAY(DATE($B$3,9,1),1)+1+17)=9,DATE($B$3,9,1)-WEEKDAY(DATE($B$3,9,1),1)+1+17,"")</f>
        <v>46645.0</v>
      </c>
      <c r="S27" s="14">
        <f>IF(MONTH(DATE($B$3,9,1)-WEEKDAY(DATE($B$3,9,1),1)+1+18)=9,DATE($B$3,9,1)-WEEKDAY(DATE($B$3,9,1),1)+1+18,"")</f>
        <v>46646.0</v>
      </c>
      <c r="T27" s="14">
        <f>IF(MONTH(DATE($B$3,9,1)-WEEKDAY(DATE($B$3,9,1),1)+1+19)=9,DATE($B$3,9,1)-WEEKDAY(DATE($B$3,9,1),1)+1+19,"")</f>
        <v>46647.0</v>
      </c>
      <c r="U27" s="14">
        <f>IF(MONTH(DATE($B$3,9,1)-WEEKDAY(DATE($B$3,9,1),1)+1+20)=9,DATE($B$3,9,1)-WEEKDAY(DATE($B$3,9,1),1)+1+20,"")</f>
        <v>46648.0</v>
      </c>
    </row>
    <row r="28">
      <c r="A28" s="14">
        <f>IF(MONTH(DATE($B$3,7,1)-WEEKDAY(DATE($B$3,7,1),1)+1+21)=7,DATE($B$3,7,1)-WEEKDAY(DATE($B$3,7,1),1)+1+21,"")</f>
        <v>46586.0</v>
      </c>
      <c r="B28" s="14">
        <f>IF(MONTH(DATE($B$3,7,1)-WEEKDAY(DATE($B$3,7,1),1)+1+22)=7,DATE($B$3,7,1)-WEEKDAY(DATE($B$3,7,1),1)+1+22,"")</f>
        <v>46587.0</v>
      </c>
      <c r="C28" s="14">
        <f>IF(MONTH(DATE($B$3,7,1)-WEEKDAY(DATE($B$3,7,1),1)+1+23)=7,DATE($B$3,7,1)-WEEKDAY(DATE($B$3,7,1),1)+1+23,"")</f>
        <v>46588.0</v>
      </c>
      <c r="D28" s="14">
        <f>IF(MONTH(DATE($B$3,7,1)-WEEKDAY(DATE($B$3,7,1),1)+1+24)=7,DATE($B$3,7,1)-WEEKDAY(DATE($B$3,7,1),1)+1+24,"")</f>
        <v>46589.0</v>
      </c>
      <c r="E28" s="14">
        <f>IF(MONTH(DATE($B$3,7,1)-WEEKDAY(DATE($B$3,7,1),1)+1+25)=7,DATE($B$3,7,1)-WEEKDAY(DATE($B$3,7,1),1)+1+25,"")</f>
        <v>46590.0</v>
      </c>
      <c r="F28" s="14">
        <f>IF(MONTH(DATE($B$3,7,1)-WEEKDAY(DATE($B$3,7,1),1)+1+26)=7,DATE($B$3,7,1)-WEEKDAY(DATE($B$3,7,1),1)+1+26,"")</f>
        <v>46591.0</v>
      </c>
      <c r="G28" s="14">
        <f>IF(MONTH(DATE($B$3,7,1)-WEEKDAY(DATE($B$3,7,1),1)+1+27)=7,DATE($B$3,7,1)-WEEKDAY(DATE($B$3,7,1),1)+1+27,"")</f>
        <v>46592.0</v>
      </c>
      <c r="H28" s="14">
        <f>IF(MONTH(DATE($B$3,8,1)-WEEKDAY(DATE($B$3,8,1),1)+1+21)=8,DATE($B$3,8,1)-WEEKDAY(DATE($B$3,8,1),1)+1+21,"")</f>
        <v>46621.0</v>
      </c>
      <c r="I28" s="14">
        <f>IF(MONTH(DATE($B$3,8,1)-WEEKDAY(DATE($B$3,8,1),1)+1+22)=8,DATE($B$3,8,1)-WEEKDAY(DATE($B$3,8,1),1)+1+22,"")</f>
        <v>46622.0</v>
      </c>
      <c r="J28" s="14">
        <f>IF(MONTH(DATE($B$3,8,1)-WEEKDAY(DATE($B$3,8,1),1)+1+23)=8,DATE($B$3,8,1)-WEEKDAY(DATE($B$3,8,1),1)+1+23,"")</f>
        <v>46623.0</v>
      </c>
      <c r="K28" s="14">
        <f>IF(MONTH(DATE($B$3,8,1)-WEEKDAY(DATE($B$3,8,1),1)+1+24)=8,DATE($B$3,8,1)-WEEKDAY(DATE($B$3,8,1),1)+1+24,"")</f>
        <v>46624.0</v>
      </c>
      <c r="L28" s="14">
        <f>IF(MONTH(DATE($B$3,8,1)-WEEKDAY(DATE($B$3,8,1),1)+1+25)=8,DATE($B$3,8,1)-WEEKDAY(DATE($B$3,8,1),1)+1+25,"")</f>
        <v>46625.0</v>
      </c>
      <c r="M28" s="14">
        <f>IF(MONTH(DATE($B$3,8,1)-WEEKDAY(DATE($B$3,8,1),1)+1+26)=8,DATE($B$3,8,1)-WEEKDAY(DATE($B$3,8,1),1)+1+26,"")</f>
        <v>46626.0</v>
      </c>
      <c r="N28" s="14">
        <f>IF(MONTH(DATE($B$3,8,1)-WEEKDAY(DATE($B$3,8,1),1)+1+27)=8,DATE($B$3,8,1)-WEEKDAY(DATE($B$3,8,1),1)+1+27,"")</f>
        <v>46627.0</v>
      </c>
      <c r="O28" s="14">
        <f>IF(MONTH(DATE($B$3,9,1)-WEEKDAY(DATE($B$3,9,1),1)+1+21)=9,DATE($B$3,9,1)-WEEKDAY(DATE($B$3,9,1),1)+1+21,"")</f>
        <v>46649.0</v>
      </c>
      <c r="P28" s="14">
        <f>IF(MONTH(DATE($B$3,9,1)-WEEKDAY(DATE($B$3,9,1),1)+1+22)=9,DATE($B$3,9,1)-WEEKDAY(DATE($B$3,9,1),1)+1+22,"")</f>
        <v>46650.0</v>
      </c>
      <c r="Q28" s="14">
        <f>IF(MONTH(DATE($B$3,9,1)-WEEKDAY(DATE($B$3,9,1),1)+1+23)=9,DATE($B$3,9,1)-WEEKDAY(DATE($B$3,9,1),1)+1+23,"")</f>
        <v>46651.0</v>
      </c>
      <c r="R28" s="14">
        <f>IF(MONTH(DATE($B$3,9,1)-WEEKDAY(DATE($B$3,9,1),1)+1+24)=9,DATE($B$3,9,1)-WEEKDAY(DATE($B$3,9,1),1)+1+24,"")</f>
        <v>46652.0</v>
      </c>
      <c r="S28" s="14">
        <f>IF(MONTH(DATE($B$3,9,1)-WEEKDAY(DATE($B$3,9,1),1)+1+25)=9,DATE($B$3,9,1)-WEEKDAY(DATE($B$3,9,1),1)+1+25,"")</f>
        <v>46653.0</v>
      </c>
      <c r="T28" s="14">
        <f>IF(MONTH(DATE($B$3,9,1)-WEEKDAY(DATE($B$3,9,1),1)+1+26)=9,DATE($B$3,9,1)-WEEKDAY(DATE($B$3,9,1),1)+1+26,"")</f>
        <v>46654.0</v>
      </c>
      <c r="U28" s="14">
        <f>IF(MONTH(DATE($B$3,9,1)-WEEKDAY(DATE($B$3,9,1),1)+1+27)=9,DATE($B$3,9,1)-WEEKDAY(DATE($B$3,9,1),1)+1+27,"")</f>
        <v>46655.0</v>
      </c>
    </row>
    <row r="29">
      <c r="A29" s="14">
        <f>IF(MONTH(DATE($B$3,7,1)-WEEKDAY(DATE($B$3,7,1),1)+1+28)=7,DATE($B$3,7,1)-WEEKDAY(DATE($B$3,7,1),1)+1+28,"")</f>
        <v>46593.0</v>
      </c>
      <c r="B29" s="14">
        <f>IF(MONTH(DATE($B$3,7,1)-WEEKDAY(DATE($B$3,7,1),1)+1+29)=7,DATE($B$3,7,1)-WEEKDAY(DATE($B$3,7,1),1)+1+29,"")</f>
        <v>46594.0</v>
      </c>
      <c r="C29" s="14">
        <f>IF(MONTH(DATE($B$3,7,1)-WEEKDAY(DATE($B$3,7,1),1)+1+30)=7,DATE($B$3,7,1)-WEEKDAY(DATE($B$3,7,1),1)+1+30,"")</f>
        <v>46595.0</v>
      </c>
      <c r="D29" s="14">
        <f>IF(MONTH(DATE($B$3,7,1)-WEEKDAY(DATE($B$3,7,1),1)+1+31)=7,DATE($B$3,7,1)-WEEKDAY(DATE($B$3,7,1),1)+1+31,"")</f>
        <v>46596.0</v>
      </c>
      <c r="E29" s="14">
        <f>IF(MONTH(DATE($B$3,7,1)-WEEKDAY(DATE($B$3,7,1),1)+1+32)=7,DATE($B$3,7,1)-WEEKDAY(DATE($B$3,7,1),1)+1+32,"")</f>
        <v>46597.0</v>
      </c>
      <c r="F29" s="14">
        <f>IF(MONTH(DATE($B$3,7,1)-WEEKDAY(DATE($B$3,7,1),1)+1+33)=7,DATE($B$3,7,1)-WEEKDAY(DATE($B$3,7,1),1)+1+33,"")</f>
        <v>46598.0</v>
      </c>
      <c r="G29" s="14">
        <f>IF(MONTH(DATE($B$3,7,1)-WEEKDAY(DATE($B$3,7,1),1)+1+34)=7,DATE($B$3,7,1)-WEEKDAY(DATE($B$3,7,1),1)+1+34,"")</f>
        <v>46599.0</v>
      </c>
      <c r="H29" s="14">
        <f>IF(MONTH(DATE($B$3,8,1)-WEEKDAY(DATE($B$3,8,1),1)+1+28)=8,DATE($B$3,8,1)-WEEKDAY(DATE($B$3,8,1),1)+1+28,"")</f>
        <v>46628.0</v>
      </c>
      <c r="I29" s="14">
        <f>IF(MONTH(DATE($B$3,8,1)-WEEKDAY(DATE($B$3,8,1),1)+1+29)=8,DATE($B$3,8,1)-WEEKDAY(DATE($B$3,8,1),1)+1+29,"")</f>
        <v>46629.0</v>
      </c>
      <c r="J29" s="14">
        <f>IF(MONTH(DATE($B$3,8,1)-WEEKDAY(DATE($B$3,8,1),1)+1+30)=8,DATE($B$3,8,1)-WEEKDAY(DATE($B$3,8,1),1)+1+30,"")</f>
        <v>46630.0</v>
      </c>
      <c r="K29" s="14" t="str">
        <f>IF(MONTH(DATE($B$3,8,1)-WEEKDAY(DATE($B$3,8,1),1)+1+31)=8,DATE($B$3,8,1)-WEEKDAY(DATE($B$3,8,1),1)+1+31,"")</f>
        <v/>
      </c>
      <c r="L29" s="14" t="str">
        <f>IF(MONTH(DATE($B$3,8,1)-WEEKDAY(DATE($B$3,8,1),1)+1+32)=8,DATE($B$3,8,1)-WEEKDAY(DATE($B$3,8,1),1)+1+32,"")</f>
        <v/>
      </c>
      <c r="M29" s="14" t="str">
        <f>IF(MONTH(DATE($B$3,8,1)-WEEKDAY(DATE($B$3,8,1),1)+1+33)=8,DATE($B$3,8,1)-WEEKDAY(DATE($B$3,8,1),1)+1+33,"")</f>
        <v/>
      </c>
      <c r="N29" s="14" t="str">
        <f>IF(MONTH(DATE($B$3,8,1)-WEEKDAY(DATE($B$3,8,1),1)+1+34)=8,DATE($B$3,8,1)-WEEKDAY(DATE($B$3,8,1),1)+1+34,"")</f>
        <v/>
      </c>
      <c r="O29" s="14">
        <f>IF(MONTH(DATE($B$3,9,1)-WEEKDAY(DATE($B$3,9,1),1)+1+28)=9,DATE($B$3,9,1)-WEEKDAY(DATE($B$3,9,1),1)+1+28,"")</f>
        <v>46656.0</v>
      </c>
      <c r="P29" s="14">
        <f>IF(MONTH(DATE($B$3,9,1)-WEEKDAY(DATE($B$3,9,1),1)+1+29)=9,DATE($B$3,9,1)-WEEKDAY(DATE($B$3,9,1),1)+1+29,"")</f>
        <v>46657.0</v>
      </c>
      <c r="Q29" s="14">
        <f>IF(MONTH(DATE($B$3,9,1)-WEEKDAY(DATE($B$3,9,1),1)+1+30)=9,DATE($B$3,9,1)-WEEKDAY(DATE($B$3,9,1),1)+1+30,"")</f>
        <v>46658.0</v>
      </c>
      <c r="R29" s="14">
        <f>IF(MONTH(DATE($B$3,9,1)-WEEKDAY(DATE($B$3,9,1),1)+1+31)=9,DATE($B$3,9,1)-WEEKDAY(DATE($B$3,9,1),1)+1+31,"")</f>
        <v>46659.0</v>
      </c>
      <c r="S29" s="14">
        <f>IF(MONTH(DATE($B$3,9,1)-WEEKDAY(DATE($B$3,9,1),1)+1+32)=9,DATE($B$3,9,1)-WEEKDAY(DATE($B$3,9,1),1)+1+32,"")</f>
        <v>46660.0</v>
      </c>
      <c r="T29" s="14" t="str">
        <f>IF(MONTH(DATE($B$3,9,1)-WEEKDAY(DATE($B$3,9,1),1)+1+33)=9,DATE($B$3,9,1)-WEEKDAY(DATE($B$3,9,1),1)+1+33,"")</f>
        <v/>
      </c>
      <c r="U29" s="14" t="str">
        <f>IF(MONTH(DATE($B$3,9,1)-WEEKDAY(DATE($B$3,9,1),1)+1+34)=9,DATE($B$3,9,1)-WEEKDAY(DATE($B$3,9,1),1)+1+34,"")</f>
        <v/>
      </c>
    </row>
    <row r="30">
      <c r="A30" s="14" t="str">
        <f>IF(MONTH(DATE($B$3,7,1)-WEEKDAY(DATE($B$3,7,1),1)+1+35)=7,DATE($B$3,7,1)-WEEKDAY(DATE($B$3,7,1),1)+1+35,"")</f>
        <v/>
      </c>
      <c r="B30" s="14" t="str">
        <f>IF(MONTH(DATE($B$3,7,1)-WEEKDAY(DATE($B$3,7,1),1)+1+36)=7,DATE($B$3,7,1)-WEEKDAY(DATE($B$3,7,1),1)+1+36,"")</f>
        <v/>
      </c>
      <c r="C30" s="14" t="str">
        <f>IF(MONTH(DATE($B$3,7,1)-WEEKDAY(DATE($B$3,7,1),1)+1+37)=7,DATE($B$3,7,1)-WEEKDAY(DATE($B$3,7,1),1)+1+37,"")</f>
        <v/>
      </c>
      <c r="D30" s="14" t="str">
        <f>IF(MONTH(DATE($B$3,7,1)-WEEKDAY(DATE($B$3,7,1),1)+1+38)=7,DATE($B$3,7,1)-WEEKDAY(DATE($B$3,7,1),1)+1+38,"")</f>
        <v/>
      </c>
      <c r="E30" s="14" t="str">
        <f>IF(MONTH(DATE($B$3,7,1)-WEEKDAY(DATE($B$3,7,1),1)+1+39)=7,DATE($B$3,7,1)-WEEKDAY(DATE($B$3,7,1),1)+1+39,"")</f>
        <v/>
      </c>
      <c r="F30" s="14" t="str">
        <f>IF(MONTH(DATE($B$3,7,1)-WEEKDAY(DATE($B$3,7,1),1)+1+40)=7,DATE($B$3,7,1)-WEEKDAY(DATE($B$3,7,1),1)+1+40,"")</f>
        <v/>
      </c>
      <c r="G30" s="14" t="str">
        <f>IF(MONTH(DATE($B$3,7,1)-WEEKDAY(DATE($B$3,7,1),1)+1+41)=7,DATE($B$3,7,1)-WEEKDAY(DATE($B$3,7,1),1)+1+41,"")</f>
        <v/>
      </c>
      <c r="H30" s="14" t="str">
        <f>IF(MONTH(DATE($B$3,8,1)-WEEKDAY(DATE($B$3,8,1),1)+1+35)=8,DATE($B$3,8,1)-WEEKDAY(DATE($B$3,8,1),1)+1+35,"")</f>
        <v/>
      </c>
      <c r="I30" s="14" t="str">
        <f>IF(MONTH(DATE($B$3,8,1)-WEEKDAY(DATE($B$3,8,1),1)+1+36)=8,DATE($B$3,8,1)-WEEKDAY(DATE($B$3,8,1),1)+1+36,"")</f>
        <v/>
      </c>
      <c r="J30" s="14" t="str">
        <f>IF(MONTH(DATE($B$3,8,1)-WEEKDAY(DATE($B$3,8,1),1)+1+37)=8,DATE($B$3,8,1)-WEEKDAY(DATE($B$3,8,1),1)+1+37,"")</f>
        <v/>
      </c>
      <c r="K30" s="14" t="str">
        <f>IF(MONTH(DATE($B$3,8,1)-WEEKDAY(DATE($B$3,8,1),1)+1+38)=8,DATE($B$3,8,1)-WEEKDAY(DATE($B$3,8,1),1)+1+38,"")</f>
        <v/>
      </c>
      <c r="L30" s="14" t="str">
        <f>IF(MONTH(DATE($B$3,8,1)-WEEKDAY(DATE($B$3,8,1),1)+1+39)=8,DATE($B$3,8,1)-WEEKDAY(DATE($B$3,8,1),1)+1+39,"")</f>
        <v/>
      </c>
      <c r="M30" s="14" t="str">
        <f>IF(MONTH(DATE($B$3,8,1)-WEEKDAY(DATE($B$3,8,1),1)+1+40)=8,DATE($B$3,8,1)-WEEKDAY(DATE($B$3,8,1),1)+1+40,"")</f>
        <v/>
      </c>
      <c r="N30" s="14" t="str">
        <f>IF(MONTH(DATE($B$3,8,1)-WEEKDAY(DATE($B$3,8,1),1)+1+41)=8,DATE($B$3,8,1)-WEEKDAY(DATE($B$3,8,1),1)+1+41,"")</f>
        <v/>
      </c>
      <c r="O30" s="14" t="str">
        <f>IF(MONTH(DATE($B$3,9,1)-WEEKDAY(DATE($B$3,9,1),1)+1+35)=9,DATE($B$3,9,1)-WEEKDAY(DATE($B$3,9,1),1)+1+35,"")</f>
        <v/>
      </c>
      <c r="P30" s="14" t="str">
        <f>IF(MONTH(DATE($B$3,9,1)-WEEKDAY(DATE($B$3,9,1),1)+1+36)=9,DATE($B$3,9,1)-WEEKDAY(DATE($B$3,9,1),1)+1+36,"")</f>
        <v/>
      </c>
      <c r="Q30" s="14" t="str">
        <f>IF(MONTH(DATE($B$3,9,1)-WEEKDAY(DATE($B$3,9,1),1)+1+37)=9,DATE($B$3,9,1)-WEEKDAY(DATE($B$3,9,1),1)+1+37,"")</f>
        <v/>
      </c>
      <c r="R30" s="14" t="str">
        <f>IF(MONTH(DATE($B$3,9,1)-WEEKDAY(DATE($B$3,9,1),1)+1+38)=9,DATE($B$3,9,1)-WEEKDAY(DATE($B$3,9,1),1)+1+38,"")</f>
        <v/>
      </c>
      <c r="S30" s="14" t="str">
        <f>IF(MONTH(DATE($B$3,9,1)-WEEKDAY(DATE($B$3,9,1),1)+1+39)=9,DATE($B$3,9,1)-WEEKDAY(DATE($B$3,9,1),1)+1+39,"")</f>
        <v/>
      </c>
      <c r="T30" s="14" t="str">
        <f>IF(MONTH(DATE($B$3,9,1)-WEEKDAY(DATE($B$3,9,1),1)+1+40)=9,DATE($B$3,9,1)-WEEKDAY(DATE($B$3,9,1),1)+1+40,"")</f>
        <v/>
      </c>
      <c r="U30" s="14" t="str">
        <f>IF(MONTH(DATE($B$3,9,1)-WEEKDAY(DATE($B$3,9,1),1)+1+41)=9,DATE($B$3,9,1)-WEEKDAY(DATE($B$3,9,1),1)+1+41,"")</f>
        <v/>
      </c>
    </row>
    <row r="31"/>
    <row r="32" ht="22" customHeight="1">
      <c r="A32" s="7" t="inlineStr">
        <is>
          <t>Outubro</t>
        </is>
      </c>
      <c r="H32" s="7" t="inlineStr">
        <is>
          <t>Novembro</t>
        </is>
      </c>
      <c r="O32" s="7" t="inlineStr">
        <is>
          <t>Dezembro</t>
        </is>
      </c>
    </row>
    <row r="33">
      <c r="A33" s="10" t="inlineStr">
        <is>
          <t>D</t>
        </is>
      </c>
      <c r="B33" s="10" t="inlineStr">
        <is>
          <t>S</t>
        </is>
      </c>
      <c r="C33" s="10" t="inlineStr">
        <is>
          <t>T</t>
        </is>
      </c>
      <c r="D33" s="10" t="inlineStr">
        <is>
          <t>Q</t>
        </is>
      </c>
      <c r="E33" s="10" t="inlineStr">
        <is>
          <t>Q</t>
        </is>
      </c>
      <c r="F33" s="10" t="inlineStr">
        <is>
          <t>S</t>
        </is>
      </c>
      <c r="G33" s="10" t="inlineStr">
        <is>
          <t>S</t>
        </is>
      </c>
      <c r="H33" s="10" t="inlineStr">
        <is>
          <t>D</t>
        </is>
      </c>
      <c r="I33" s="10" t="inlineStr">
        <is>
          <t>S</t>
        </is>
      </c>
      <c r="J33" s="10" t="inlineStr">
        <is>
          <t>T</t>
        </is>
      </c>
      <c r="K33" s="10" t="inlineStr">
        <is>
          <t>Q</t>
        </is>
      </c>
      <c r="L33" s="10" t="inlineStr">
        <is>
          <t>Q</t>
        </is>
      </c>
      <c r="M33" s="10" t="inlineStr">
        <is>
          <t>S</t>
        </is>
      </c>
      <c r="N33" s="10" t="inlineStr">
        <is>
          <t>S</t>
        </is>
      </c>
      <c r="O33" s="10" t="inlineStr">
        <is>
          <t>D</t>
        </is>
      </c>
      <c r="P33" s="10" t="inlineStr">
        <is>
          <t>S</t>
        </is>
      </c>
      <c r="Q33" s="10" t="inlineStr">
        <is>
          <t>T</t>
        </is>
      </c>
      <c r="R33" s="10" t="inlineStr">
        <is>
          <t>Q</t>
        </is>
      </c>
      <c r="S33" s="10" t="inlineStr">
        <is>
          <t>Q</t>
        </is>
      </c>
      <c r="T33" s="10" t="inlineStr">
        <is>
          <t>S</t>
        </is>
      </c>
      <c r="U33" s="10" t="inlineStr">
        <is>
          <t>S</t>
        </is>
      </c>
    </row>
    <row r="34">
      <c r="A34" s="14" t="str">
        <f>IF(MONTH(DATE($B$3,10,1)-WEEKDAY(DATE($B$3,10,1),1)+1+0)=10,DATE($B$3,10,1)-WEEKDAY(DATE($B$3,10,1),1)+1+0,"")</f>
        <v/>
      </c>
      <c r="B34" s="14" t="str">
        <f>IF(MONTH(DATE($B$3,10,1)-WEEKDAY(DATE($B$3,10,1),1)+1+1)=10,DATE($B$3,10,1)-WEEKDAY(DATE($B$3,10,1),1)+1+1,"")</f>
        <v/>
      </c>
      <c r="C34" s="14" t="str">
        <f>IF(MONTH(DATE($B$3,10,1)-WEEKDAY(DATE($B$3,10,1),1)+1+2)=10,DATE($B$3,10,1)-WEEKDAY(DATE($B$3,10,1),1)+1+2,"")</f>
        <v/>
      </c>
      <c r="D34" s="14" t="str">
        <f>IF(MONTH(DATE($B$3,10,1)-WEEKDAY(DATE($B$3,10,1),1)+1+3)=10,DATE($B$3,10,1)-WEEKDAY(DATE($B$3,10,1),1)+1+3,"")</f>
        <v/>
      </c>
      <c r="E34" s="14" t="str">
        <f>IF(MONTH(DATE($B$3,10,1)-WEEKDAY(DATE($B$3,10,1),1)+1+4)=10,DATE($B$3,10,1)-WEEKDAY(DATE($B$3,10,1),1)+1+4,"")</f>
        <v/>
      </c>
      <c r="F34" s="14">
        <f>IF(MONTH(DATE($B$3,10,1)-WEEKDAY(DATE($B$3,10,1),1)+1+5)=10,DATE($B$3,10,1)-WEEKDAY(DATE($B$3,10,1),1)+1+5,"")</f>
        <v>46661.0</v>
      </c>
      <c r="G34" s="14">
        <f>IF(MONTH(DATE($B$3,10,1)-WEEKDAY(DATE($B$3,10,1),1)+1+6)=10,DATE($B$3,10,1)-WEEKDAY(DATE($B$3,10,1),1)+1+6,"")</f>
        <v>46662.0</v>
      </c>
      <c r="H34" s="14" t="str">
        <f>IF(MONTH(DATE($B$3,11,1)-WEEKDAY(DATE($B$3,11,1),1)+1+0)=11,DATE($B$3,11,1)-WEEKDAY(DATE($B$3,11,1),1)+1+0,"")</f>
        <v/>
      </c>
      <c r="I34" s="14">
        <f>IF(MONTH(DATE($B$3,11,1)-WEEKDAY(DATE($B$3,11,1),1)+1+1)=11,DATE($B$3,11,1)-WEEKDAY(DATE($B$3,11,1),1)+1+1,"")</f>
        <v>46692.0</v>
      </c>
      <c r="J34" s="14">
        <f>IF(MONTH(DATE($B$3,11,1)-WEEKDAY(DATE($B$3,11,1),1)+1+2)=11,DATE($B$3,11,1)-WEEKDAY(DATE($B$3,11,1),1)+1+2,"")</f>
        <v>46693.0</v>
      </c>
      <c r="K34" s="14">
        <f>IF(MONTH(DATE($B$3,11,1)-WEEKDAY(DATE($B$3,11,1),1)+1+3)=11,DATE($B$3,11,1)-WEEKDAY(DATE($B$3,11,1),1)+1+3,"")</f>
        <v>46694.0</v>
      </c>
      <c r="L34" s="14">
        <f>IF(MONTH(DATE($B$3,11,1)-WEEKDAY(DATE($B$3,11,1),1)+1+4)=11,DATE($B$3,11,1)-WEEKDAY(DATE($B$3,11,1),1)+1+4,"")</f>
        <v>46695.0</v>
      </c>
      <c r="M34" s="14">
        <f>IF(MONTH(DATE($B$3,11,1)-WEEKDAY(DATE($B$3,11,1),1)+1+5)=11,DATE($B$3,11,1)-WEEKDAY(DATE($B$3,11,1),1)+1+5,"")</f>
        <v>46696.0</v>
      </c>
      <c r="N34" s="14">
        <f>IF(MONTH(DATE($B$3,11,1)-WEEKDAY(DATE($B$3,11,1),1)+1+6)=11,DATE($B$3,11,1)-WEEKDAY(DATE($B$3,11,1),1)+1+6,"")</f>
        <v>46697.0</v>
      </c>
      <c r="O34" s="14" t="str">
        <f>IF(MONTH(DATE($B$3,12,1)-WEEKDAY(DATE($B$3,12,1),1)+1+0)=12,DATE($B$3,12,1)-WEEKDAY(DATE($B$3,12,1),1)+1+0,"")</f>
        <v/>
      </c>
      <c r="P34" s="14" t="str">
        <f>IF(MONTH(DATE($B$3,12,1)-WEEKDAY(DATE($B$3,12,1),1)+1+1)=12,DATE($B$3,12,1)-WEEKDAY(DATE($B$3,12,1),1)+1+1,"")</f>
        <v/>
      </c>
      <c r="Q34" s="14" t="str">
        <f>IF(MONTH(DATE($B$3,12,1)-WEEKDAY(DATE($B$3,12,1),1)+1+2)=12,DATE($B$3,12,1)-WEEKDAY(DATE($B$3,12,1),1)+1+2,"")</f>
        <v/>
      </c>
      <c r="R34" s="14">
        <f>IF(MONTH(DATE($B$3,12,1)-WEEKDAY(DATE($B$3,12,1),1)+1+3)=12,DATE($B$3,12,1)-WEEKDAY(DATE($B$3,12,1),1)+1+3,"")</f>
        <v>46722.0</v>
      </c>
      <c r="S34" s="14">
        <f>IF(MONTH(DATE($B$3,12,1)-WEEKDAY(DATE($B$3,12,1),1)+1+4)=12,DATE($B$3,12,1)-WEEKDAY(DATE($B$3,12,1),1)+1+4,"")</f>
        <v>46723.0</v>
      </c>
      <c r="T34" s="14">
        <f>IF(MONTH(DATE($B$3,12,1)-WEEKDAY(DATE($B$3,12,1),1)+1+5)=12,DATE($B$3,12,1)-WEEKDAY(DATE($B$3,12,1),1)+1+5,"")</f>
        <v>46724.0</v>
      </c>
      <c r="U34" s="14">
        <f>IF(MONTH(DATE($B$3,12,1)-WEEKDAY(DATE($B$3,12,1),1)+1+6)=12,DATE($B$3,12,1)-WEEKDAY(DATE($B$3,12,1),1)+1+6,"")</f>
        <v>46725.0</v>
      </c>
    </row>
    <row r="35">
      <c r="A35" s="14">
        <f>IF(MONTH(DATE($B$3,10,1)-WEEKDAY(DATE($B$3,10,1),1)+1+7)=10,DATE($B$3,10,1)-WEEKDAY(DATE($B$3,10,1),1)+1+7,"")</f>
        <v>46663.0</v>
      </c>
      <c r="B35" s="14">
        <f>IF(MONTH(DATE($B$3,10,1)-WEEKDAY(DATE($B$3,10,1),1)+1+8)=10,DATE($B$3,10,1)-WEEKDAY(DATE($B$3,10,1),1)+1+8,"")</f>
        <v>46664.0</v>
      </c>
      <c r="C35" s="14">
        <f>IF(MONTH(DATE($B$3,10,1)-WEEKDAY(DATE($B$3,10,1),1)+1+9)=10,DATE($B$3,10,1)-WEEKDAY(DATE($B$3,10,1),1)+1+9,"")</f>
        <v>46665.0</v>
      </c>
      <c r="D35" s="14">
        <f>IF(MONTH(DATE($B$3,10,1)-WEEKDAY(DATE($B$3,10,1),1)+1+10)=10,DATE($B$3,10,1)-WEEKDAY(DATE($B$3,10,1),1)+1+10,"")</f>
        <v>46666.0</v>
      </c>
      <c r="E35" s="14">
        <f>IF(MONTH(DATE($B$3,10,1)-WEEKDAY(DATE($B$3,10,1),1)+1+11)=10,DATE($B$3,10,1)-WEEKDAY(DATE($B$3,10,1),1)+1+11,"")</f>
        <v>46667.0</v>
      </c>
      <c r="F35" s="14">
        <f>IF(MONTH(DATE($B$3,10,1)-WEEKDAY(DATE($B$3,10,1),1)+1+12)=10,DATE($B$3,10,1)-WEEKDAY(DATE($B$3,10,1),1)+1+12,"")</f>
        <v>46668.0</v>
      </c>
      <c r="G35" s="14">
        <f>IF(MONTH(DATE($B$3,10,1)-WEEKDAY(DATE($B$3,10,1),1)+1+13)=10,DATE($B$3,10,1)-WEEKDAY(DATE($B$3,10,1),1)+1+13,"")</f>
        <v>46669.0</v>
      </c>
      <c r="H35" s="14">
        <f>IF(MONTH(DATE($B$3,11,1)-WEEKDAY(DATE($B$3,11,1),1)+1+7)=11,DATE($B$3,11,1)-WEEKDAY(DATE($B$3,11,1),1)+1+7,"")</f>
        <v>46698.0</v>
      </c>
      <c r="I35" s="14">
        <f>IF(MONTH(DATE($B$3,11,1)-WEEKDAY(DATE($B$3,11,1),1)+1+8)=11,DATE($B$3,11,1)-WEEKDAY(DATE($B$3,11,1),1)+1+8,"")</f>
        <v>46699.0</v>
      </c>
      <c r="J35" s="14">
        <f>IF(MONTH(DATE($B$3,11,1)-WEEKDAY(DATE($B$3,11,1),1)+1+9)=11,DATE($B$3,11,1)-WEEKDAY(DATE($B$3,11,1),1)+1+9,"")</f>
        <v>46700.0</v>
      </c>
      <c r="K35" s="14">
        <f>IF(MONTH(DATE($B$3,11,1)-WEEKDAY(DATE($B$3,11,1),1)+1+10)=11,DATE($B$3,11,1)-WEEKDAY(DATE($B$3,11,1),1)+1+10,"")</f>
        <v>46701.0</v>
      </c>
      <c r="L35" s="14">
        <f>IF(MONTH(DATE($B$3,11,1)-WEEKDAY(DATE($B$3,11,1),1)+1+11)=11,DATE($B$3,11,1)-WEEKDAY(DATE($B$3,11,1),1)+1+11,"")</f>
        <v>46702.0</v>
      </c>
      <c r="M35" s="14">
        <f>IF(MONTH(DATE($B$3,11,1)-WEEKDAY(DATE($B$3,11,1),1)+1+12)=11,DATE($B$3,11,1)-WEEKDAY(DATE($B$3,11,1),1)+1+12,"")</f>
        <v>46703.0</v>
      </c>
      <c r="N35" s="14">
        <f>IF(MONTH(DATE($B$3,11,1)-WEEKDAY(DATE($B$3,11,1),1)+1+13)=11,DATE($B$3,11,1)-WEEKDAY(DATE($B$3,11,1),1)+1+13,"")</f>
        <v>46704.0</v>
      </c>
      <c r="O35" s="14">
        <f>IF(MONTH(DATE($B$3,12,1)-WEEKDAY(DATE($B$3,12,1),1)+1+7)=12,DATE($B$3,12,1)-WEEKDAY(DATE($B$3,12,1),1)+1+7,"")</f>
        <v>46726.0</v>
      </c>
      <c r="P35" s="14">
        <f>IF(MONTH(DATE($B$3,12,1)-WEEKDAY(DATE($B$3,12,1),1)+1+8)=12,DATE($B$3,12,1)-WEEKDAY(DATE($B$3,12,1),1)+1+8,"")</f>
        <v>46727.0</v>
      </c>
      <c r="Q35" s="14">
        <f>IF(MONTH(DATE($B$3,12,1)-WEEKDAY(DATE($B$3,12,1),1)+1+9)=12,DATE($B$3,12,1)-WEEKDAY(DATE($B$3,12,1),1)+1+9,"")</f>
        <v>46728.0</v>
      </c>
      <c r="R35" s="14">
        <f>IF(MONTH(DATE($B$3,12,1)-WEEKDAY(DATE($B$3,12,1),1)+1+10)=12,DATE($B$3,12,1)-WEEKDAY(DATE($B$3,12,1),1)+1+10,"")</f>
        <v>46729.0</v>
      </c>
      <c r="S35" s="14">
        <f>IF(MONTH(DATE($B$3,12,1)-WEEKDAY(DATE($B$3,12,1),1)+1+11)=12,DATE($B$3,12,1)-WEEKDAY(DATE($B$3,12,1),1)+1+11,"")</f>
        <v>46730.0</v>
      </c>
      <c r="T35" s="14">
        <f>IF(MONTH(DATE($B$3,12,1)-WEEKDAY(DATE($B$3,12,1),1)+1+12)=12,DATE($B$3,12,1)-WEEKDAY(DATE($B$3,12,1),1)+1+12,"")</f>
        <v>46731.0</v>
      </c>
      <c r="U35" s="14">
        <f>IF(MONTH(DATE($B$3,12,1)-WEEKDAY(DATE($B$3,12,1),1)+1+13)=12,DATE($B$3,12,1)-WEEKDAY(DATE($B$3,12,1),1)+1+13,"")</f>
        <v>46732.0</v>
      </c>
    </row>
    <row r="36">
      <c r="A36" s="14">
        <f>IF(MONTH(DATE($B$3,10,1)-WEEKDAY(DATE($B$3,10,1),1)+1+14)=10,DATE($B$3,10,1)-WEEKDAY(DATE($B$3,10,1),1)+1+14,"")</f>
        <v>46670.0</v>
      </c>
      <c r="B36" s="14">
        <f>IF(MONTH(DATE($B$3,10,1)-WEEKDAY(DATE($B$3,10,1),1)+1+15)=10,DATE($B$3,10,1)-WEEKDAY(DATE($B$3,10,1),1)+1+15,"")</f>
        <v>46671.0</v>
      </c>
      <c r="C36" s="14">
        <f>IF(MONTH(DATE($B$3,10,1)-WEEKDAY(DATE($B$3,10,1),1)+1+16)=10,DATE($B$3,10,1)-WEEKDAY(DATE($B$3,10,1),1)+1+16,"")</f>
        <v>46672.0</v>
      </c>
      <c r="D36" s="14">
        <f>IF(MONTH(DATE($B$3,10,1)-WEEKDAY(DATE($B$3,10,1),1)+1+17)=10,DATE($B$3,10,1)-WEEKDAY(DATE($B$3,10,1),1)+1+17,"")</f>
        <v>46673.0</v>
      </c>
      <c r="E36" s="14">
        <f>IF(MONTH(DATE($B$3,10,1)-WEEKDAY(DATE($B$3,10,1),1)+1+18)=10,DATE($B$3,10,1)-WEEKDAY(DATE($B$3,10,1),1)+1+18,"")</f>
        <v>46674.0</v>
      </c>
      <c r="F36" s="14">
        <f>IF(MONTH(DATE($B$3,10,1)-WEEKDAY(DATE($B$3,10,1),1)+1+19)=10,DATE($B$3,10,1)-WEEKDAY(DATE($B$3,10,1),1)+1+19,"")</f>
        <v>46675.0</v>
      </c>
      <c r="G36" s="14">
        <f>IF(MONTH(DATE($B$3,10,1)-WEEKDAY(DATE($B$3,10,1),1)+1+20)=10,DATE($B$3,10,1)-WEEKDAY(DATE($B$3,10,1),1)+1+20,"")</f>
        <v>46676.0</v>
      </c>
      <c r="H36" s="14">
        <f>IF(MONTH(DATE($B$3,11,1)-WEEKDAY(DATE($B$3,11,1),1)+1+14)=11,DATE($B$3,11,1)-WEEKDAY(DATE($B$3,11,1),1)+1+14,"")</f>
        <v>46705.0</v>
      </c>
      <c r="I36" s="14">
        <f>IF(MONTH(DATE($B$3,11,1)-WEEKDAY(DATE($B$3,11,1),1)+1+15)=11,DATE($B$3,11,1)-WEEKDAY(DATE($B$3,11,1),1)+1+15,"")</f>
        <v>46706.0</v>
      </c>
      <c r="J36" s="14">
        <f>IF(MONTH(DATE($B$3,11,1)-WEEKDAY(DATE($B$3,11,1),1)+1+16)=11,DATE($B$3,11,1)-WEEKDAY(DATE($B$3,11,1),1)+1+16,"")</f>
        <v>46707.0</v>
      </c>
      <c r="K36" s="14">
        <f>IF(MONTH(DATE($B$3,11,1)-WEEKDAY(DATE($B$3,11,1),1)+1+17)=11,DATE($B$3,11,1)-WEEKDAY(DATE($B$3,11,1),1)+1+17,"")</f>
        <v>46708.0</v>
      </c>
      <c r="L36" s="14">
        <f>IF(MONTH(DATE($B$3,11,1)-WEEKDAY(DATE($B$3,11,1),1)+1+18)=11,DATE($B$3,11,1)-WEEKDAY(DATE($B$3,11,1),1)+1+18,"")</f>
        <v>46709.0</v>
      </c>
      <c r="M36" s="14">
        <f>IF(MONTH(DATE($B$3,11,1)-WEEKDAY(DATE($B$3,11,1),1)+1+19)=11,DATE($B$3,11,1)-WEEKDAY(DATE($B$3,11,1),1)+1+19,"")</f>
        <v>46710.0</v>
      </c>
      <c r="N36" s="14">
        <f>IF(MONTH(DATE($B$3,11,1)-WEEKDAY(DATE($B$3,11,1),1)+1+20)=11,DATE($B$3,11,1)-WEEKDAY(DATE($B$3,11,1),1)+1+20,"")</f>
        <v>46711.0</v>
      </c>
      <c r="O36" s="14">
        <f>IF(MONTH(DATE($B$3,12,1)-WEEKDAY(DATE($B$3,12,1),1)+1+14)=12,DATE($B$3,12,1)-WEEKDAY(DATE($B$3,12,1),1)+1+14,"")</f>
        <v>46733.0</v>
      </c>
      <c r="P36" s="14">
        <f>IF(MONTH(DATE($B$3,12,1)-WEEKDAY(DATE($B$3,12,1),1)+1+15)=12,DATE($B$3,12,1)-WEEKDAY(DATE($B$3,12,1),1)+1+15,"")</f>
        <v>46734.0</v>
      </c>
      <c r="Q36" s="14">
        <f>IF(MONTH(DATE($B$3,12,1)-WEEKDAY(DATE($B$3,12,1),1)+1+16)=12,DATE($B$3,12,1)-WEEKDAY(DATE($B$3,12,1),1)+1+16,"")</f>
        <v>46735.0</v>
      </c>
      <c r="R36" s="14">
        <f>IF(MONTH(DATE($B$3,12,1)-WEEKDAY(DATE($B$3,12,1),1)+1+17)=12,DATE($B$3,12,1)-WEEKDAY(DATE($B$3,12,1),1)+1+17,"")</f>
        <v>46736.0</v>
      </c>
      <c r="S36" s="14">
        <f>IF(MONTH(DATE($B$3,12,1)-WEEKDAY(DATE($B$3,12,1),1)+1+18)=12,DATE($B$3,12,1)-WEEKDAY(DATE($B$3,12,1),1)+1+18,"")</f>
        <v>46737.0</v>
      </c>
      <c r="T36" s="14">
        <f>IF(MONTH(DATE($B$3,12,1)-WEEKDAY(DATE($B$3,12,1),1)+1+19)=12,DATE($B$3,12,1)-WEEKDAY(DATE($B$3,12,1),1)+1+19,"")</f>
        <v>46738.0</v>
      </c>
      <c r="U36" s="14">
        <f>IF(MONTH(DATE($B$3,12,1)-WEEKDAY(DATE($B$3,12,1),1)+1+20)=12,DATE($B$3,12,1)-WEEKDAY(DATE($B$3,12,1),1)+1+20,"")</f>
        <v>46739.0</v>
      </c>
    </row>
    <row r="37">
      <c r="A37" s="14">
        <f>IF(MONTH(DATE($B$3,10,1)-WEEKDAY(DATE($B$3,10,1),1)+1+21)=10,DATE($B$3,10,1)-WEEKDAY(DATE($B$3,10,1),1)+1+21,"")</f>
        <v>46677.0</v>
      </c>
      <c r="B37" s="14">
        <f>IF(MONTH(DATE($B$3,10,1)-WEEKDAY(DATE($B$3,10,1),1)+1+22)=10,DATE($B$3,10,1)-WEEKDAY(DATE($B$3,10,1),1)+1+22,"")</f>
        <v>46678.0</v>
      </c>
      <c r="C37" s="14">
        <f>IF(MONTH(DATE($B$3,10,1)-WEEKDAY(DATE($B$3,10,1),1)+1+23)=10,DATE($B$3,10,1)-WEEKDAY(DATE($B$3,10,1),1)+1+23,"")</f>
        <v>46679.0</v>
      </c>
      <c r="D37" s="14">
        <f>IF(MONTH(DATE($B$3,10,1)-WEEKDAY(DATE($B$3,10,1),1)+1+24)=10,DATE($B$3,10,1)-WEEKDAY(DATE($B$3,10,1),1)+1+24,"")</f>
        <v>46680.0</v>
      </c>
      <c r="E37" s="14">
        <f>IF(MONTH(DATE($B$3,10,1)-WEEKDAY(DATE($B$3,10,1),1)+1+25)=10,DATE($B$3,10,1)-WEEKDAY(DATE($B$3,10,1),1)+1+25,"")</f>
        <v>46681.0</v>
      </c>
      <c r="F37" s="14">
        <f>IF(MONTH(DATE($B$3,10,1)-WEEKDAY(DATE($B$3,10,1),1)+1+26)=10,DATE($B$3,10,1)-WEEKDAY(DATE($B$3,10,1),1)+1+26,"")</f>
        <v>46682.0</v>
      </c>
      <c r="G37" s="14">
        <f>IF(MONTH(DATE($B$3,10,1)-WEEKDAY(DATE($B$3,10,1),1)+1+27)=10,DATE($B$3,10,1)-WEEKDAY(DATE($B$3,10,1),1)+1+27,"")</f>
        <v>46683.0</v>
      </c>
      <c r="H37" s="14">
        <f>IF(MONTH(DATE($B$3,11,1)-WEEKDAY(DATE($B$3,11,1),1)+1+21)=11,DATE($B$3,11,1)-WEEKDAY(DATE($B$3,11,1),1)+1+21,"")</f>
        <v>46712.0</v>
      </c>
      <c r="I37" s="14">
        <f>IF(MONTH(DATE($B$3,11,1)-WEEKDAY(DATE($B$3,11,1),1)+1+22)=11,DATE($B$3,11,1)-WEEKDAY(DATE($B$3,11,1),1)+1+22,"")</f>
        <v>46713.0</v>
      </c>
      <c r="J37" s="14">
        <f>IF(MONTH(DATE($B$3,11,1)-WEEKDAY(DATE($B$3,11,1),1)+1+23)=11,DATE($B$3,11,1)-WEEKDAY(DATE($B$3,11,1),1)+1+23,"")</f>
        <v>46714.0</v>
      </c>
      <c r="K37" s="14">
        <f>IF(MONTH(DATE($B$3,11,1)-WEEKDAY(DATE($B$3,11,1),1)+1+24)=11,DATE($B$3,11,1)-WEEKDAY(DATE($B$3,11,1),1)+1+24,"")</f>
        <v>46715.0</v>
      </c>
      <c r="L37" s="14">
        <f>IF(MONTH(DATE($B$3,11,1)-WEEKDAY(DATE($B$3,11,1),1)+1+25)=11,DATE($B$3,11,1)-WEEKDAY(DATE($B$3,11,1),1)+1+25,"")</f>
        <v>46716.0</v>
      </c>
      <c r="M37" s="14">
        <f>IF(MONTH(DATE($B$3,11,1)-WEEKDAY(DATE($B$3,11,1),1)+1+26)=11,DATE($B$3,11,1)-WEEKDAY(DATE($B$3,11,1),1)+1+26,"")</f>
        <v>46717.0</v>
      </c>
      <c r="N37" s="14">
        <f>IF(MONTH(DATE($B$3,11,1)-WEEKDAY(DATE($B$3,11,1),1)+1+27)=11,DATE($B$3,11,1)-WEEKDAY(DATE($B$3,11,1),1)+1+27,"")</f>
        <v>46718.0</v>
      </c>
      <c r="O37" s="14">
        <f>IF(MONTH(DATE($B$3,12,1)-WEEKDAY(DATE($B$3,12,1),1)+1+21)=12,DATE($B$3,12,1)-WEEKDAY(DATE($B$3,12,1),1)+1+21,"")</f>
        <v>46740.0</v>
      </c>
      <c r="P37" s="14">
        <f>IF(MONTH(DATE($B$3,12,1)-WEEKDAY(DATE($B$3,12,1),1)+1+22)=12,DATE($B$3,12,1)-WEEKDAY(DATE($B$3,12,1),1)+1+22,"")</f>
        <v>46741.0</v>
      </c>
      <c r="Q37" s="14">
        <f>IF(MONTH(DATE($B$3,12,1)-WEEKDAY(DATE($B$3,12,1),1)+1+23)=12,DATE($B$3,12,1)-WEEKDAY(DATE($B$3,12,1),1)+1+23,"")</f>
        <v>46742.0</v>
      </c>
      <c r="R37" s="14">
        <f>IF(MONTH(DATE($B$3,12,1)-WEEKDAY(DATE($B$3,12,1),1)+1+24)=12,DATE($B$3,12,1)-WEEKDAY(DATE($B$3,12,1),1)+1+24,"")</f>
        <v>46743.0</v>
      </c>
      <c r="S37" s="14">
        <f>IF(MONTH(DATE($B$3,12,1)-WEEKDAY(DATE($B$3,12,1),1)+1+25)=12,DATE($B$3,12,1)-WEEKDAY(DATE($B$3,12,1),1)+1+25,"")</f>
        <v>46744.0</v>
      </c>
      <c r="T37" s="14">
        <f>IF(MONTH(DATE($B$3,12,1)-WEEKDAY(DATE($B$3,12,1),1)+1+26)=12,DATE($B$3,12,1)-WEEKDAY(DATE($B$3,12,1),1)+1+26,"")</f>
        <v>46745.0</v>
      </c>
      <c r="U37" s="14">
        <f>IF(MONTH(DATE($B$3,12,1)-WEEKDAY(DATE($B$3,12,1),1)+1+27)=12,DATE($B$3,12,1)-WEEKDAY(DATE($B$3,12,1),1)+1+27,"")</f>
        <v>46746.0</v>
      </c>
    </row>
    <row r="38">
      <c r="A38" s="14">
        <f>IF(MONTH(DATE($B$3,10,1)-WEEKDAY(DATE($B$3,10,1),1)+1+28)=10,DATE($B$3,10,1)-WEEKDAY(DATE($B$3,10,1),1)+1+28,"")</f>
        <v>46684.0</v>
      </c>
      <c r="B38" s="14">
        <f>IF(MONTH(DATE($B$3,10,1)-WEEKDAY(DATE($B$3,10,1),1)+1+29)=10,DATE($B$3,10,1)-WEEKDAY(DATE($B$3,10,1),1)+1+29,"")</f>
        <v>46685.0</v>
      </c>
      <c r="C38" s="14">
        <f>IF(MONTH(DATE($B$3,10,1)-WEEKDAY(DATE($B$3,10,1),1)+1+30)=10,DATE($B$3,10,1)-WEEKDAY(DATE($B$3,10,1),1)+1+30,"")</f>
        <v>46686.0</v>
      </c>
      <c r="D38" s="14">
        <f>IF(MONTH(DATE($B$3,10,1)-WEEKDAY(DATE($B$3,10,1),1)+1+31)=10,DATE($B$3,10,1)-WEEKDAY(DATE($B$3,10,1),1)+1+31,"")</f>
        <v>46687.0</v>
      </c>
      <c r="E38" s="14">
        <f>IF(MONTH(DATE($B$3,10,1)-WEEKDAY(DATE($B$3,10,1),1)+1+32)=10,DATE($B$3,10,1)-WEEKDAY(DATE($B$3,10,1),1)+1+32,"")</f>
        <v>46688.0</v>
      </c>
      <c r="F38" s="14">
        <f>IF(MONTH(DATE($B$3,10,1)-WEEKDAY(DATE($B$3,10,1),1)+1+33)=10,DATE($B$3,10,1)-WEEKDAY(DATE($B$3,10,1),1)+1+33,"")</f>
        <v>46689.0</v>
      </c>
      <c r="G38" s="14">
        <f>IF(MONTH(DATE($B$3,10,1)-WEEKDAY(DATE($B$3,10,1),1)+1+34)=10,DATE($B$3,10,1)-WEEKDAY(DATE($B$3,10,1),1)+1+34,"")</f>
        <v>46690.0</v>
      </c>
      <c r="H38" s="14">
        <f>IF(MONTH(DATE($B$3,11,1)-WEEKDAY(DATE($B$3,11,1),1)+1+28)=11,DATE($B$3,11,1)-WEEKDAY(DATE($B$3,11,1),1)+1+28,"")</f>
        <v>46719.0</v>
      </c>
      <c r="I38" s="14">
        <f>IF(MONTH(DATE($B$3,11,1)-WEEKDAY(DATE($B$3,11,1),1)+1+29)=11,DATE($B$3,11,1)-WEEKDAY(DATE($B$3,11,1),1)+1+29,"")</f>
        <v>46720.0</v>
      </c>
      <c r="J38" s="14">
        <f>IF(MONTH(DATE($B$3,11,1)-WEEKDAY(DATE($B$3,11,1),1)+1+30)=11,DATE($B$3,11,1)-WEEKDAY(DATE($B$3,11,1),1)+1+30,"")</f>
        <v>46721.0</v>
      </c>
      <c r="K38" s="14" t="str">
        <f>IF(MONTH(DATE($B$3,11,1)-WEEKDAY(DATE($B$3,11,1),1)+1+31)=11,DATE($B$3,11,1)-WEEKDAY(DATE($B$3,11,1),1)+1+31,"")</f>
        <v/>
      </c>
      <c r="L38" s="14" t="str">
        <f>IF(MONTH(DATE($B$3,11,1)-WEEKDAY(DATE($B$3,11,1),1)+1+32)=11,DATE($B$3,11,1)-WEEKDAY(DATE($B$3,11,1),1)+1+32,"")</f>
        <v/>
      </c>
      <c r="M38" s="14" t="str">
        <f>IF(MONTH(DATE($B$3,11,1)-WEEKDAY(DATE($B$3,11,1),1)+1+33)=11,DATE($B$3,11,1)-WEEKDAY(DATE($B$3,11,1),1)+1+33,"")</f>
        <v/>
      </c>
      <c r="N38" s="14" t="str">
        <f>IF(MONTH(DATE($B$3,11,1)-WEEKDAY(DATE($B$3,11,1),1)+1+34)=11,DATE($B$3,11,1)-WEEKDAY(DATE($B$3,11,1),1)+1+34,"")</f>
        <v/>
      </c>
      <c r="O38" s="14">
        <f>IF(MONTH(DATE($B$3,12,1)-WEEKDAY(DATE($B$3,12,1),1)+1+28)=12,DATE($B$3,12,1)-WEEKDAY(DATE($B$3,12,1),1)+1+28,"")</f>
        <v>46747.0</v>
      </c>
      <c r="P38" s="14">
        <f>IF(MONTH(DATE($B$3,12,1)-WEEKDAY(DATE($B$3,12,1),1)+1+29)=12,DATE($B$3,12,1)-WEEKDAY(DATE($B$3,12,1),1)+1+29,"")</f>
        <v>46748.0</v>
      </c>
      <c r="Q38" s="14">
        <f>IF(MONTH(DATE($B$3,12,1)-WEEKDAY(DATE($B$3,12,1),1)+1+30)=12,DATE($B$3,12,1)-WEEKDAY(DATE($B$3,12,1),1)+1+30,"")</f>
        <v>46749.0</v>
      </c>
      <c r="R38" s="14">
        <f>IF(MONTH(DATE($B$3,12,1)-WEEKDAY(DATE($B$3,12,1),1)+1+31)=12,DATE($B$3,12,1)-WEEKDAY(DATE($B$3,12,1),1)+1+31,"")</f>
        <v>46750.0</v>
      </c>
      <c r="S38" s="14">
        <f>IF(MONTH(DATE($B$3,12,1)-WEEKDAY(DATE($B$3,12,1),1)+1+32)=12,DATE($B$3,12,1)-WEEKDAY(DATE($B$3,12,1),1)+1+32,"")</f>
        <v>46751.0</v>
      </c>
      <c r="T38" s="14">
        <f>IF(MONTH(DATE($B$3,12,1)-WEEKDAY(DATE($B$3,12,1),1)+1+33)=12,DATE($B$3,12,1)-WEEKDAY(DATE($B$3,12,1),1)+1+33,"")</f>
        <v>46752.0</v>
      </c>
      <c r="U38" s="14" t="str">
        <f>IF(MONTH(DATE($B$3,12,1)-WEEKDAY(DATE($B$3,12,1),1)+1+34)=12,DATE($B$3,12,1)-WEEKDAY(DATE($B$3,12,1),1)+1+34,"")</f>
        <v/>
      </c>
    </row>
    <row r="39">
      <c r="A39" s="14">
        <f>IF(MONTH(DATE($B$3,10,1)-WEEKDAY(DATE($B$3,10,1),1)+1+35)=10,DATE($B$3,10,1)-WEEKDAY(DATE($B$3,10,1),1)+1+35,"")</f>
        <v>46691.0</v>
      </c>
      <c r="B39" s="14" t="str">
        <f>IF(MONTH(DATE($B$3,10,1)-WEEKDAY(DATE($B$3,10,1),1)+1+36)=10,DATE($B$3,10,1)-WEEKDAY(DATE($B$3,10,1),1)+1+36,"")</f>
        <v/>
      </c>
      <c r="C39" s="14" t="str">
        <f>IF(MONTH(DATE($B$3,10,1)-WEEKDAY(DATE($B$3,10,1),1)+1+37)=10,DATE($B$3,10,1)-WEEKDAY(DATE($B$3,10,1),1)+1+37,"")</f>
        <v/>
      </c>
      <c r="D39" s="14" t="str">
        <f>IF(MONTH(DATE($B$3,10,1)-WEEKDAY(DATE($B$3,10,1),1)+1+38)=10,DATE($B$3,10,1)-WEEKDAY(DATE($B$3,10,1),1)+1+38,"")</f>
        <v/>
      </c>
      <c r="E39" s="14" t="str">
        <f>IF(MONTH(DATE($B$3,10,1)-WEEKDAY(DATE($B$3,10,1),1)+1+39)=10,DATE($B$3,10,1)-WEEKDAY(DATE($B$3,10,1),1)+1+39,"")</f>
        <v/>
      </c>
      <c r="F39" s="14" t="str">
        <f>IF(MONTH(DATE($B$3,10,1)-WEEKDAY(DATE($B$3,10,1),1)+1+40)=10,DATE($B$3,10,1)-WEEKDAY(DATE($B$3,10,1),1)+1+40,"")</f>
        <v/>
      </c>
      <c r="G39" s="14" t="str">
        <f>IF(MONTH(DATE($B$3,10,1)-WEEKDAY(DATE($B$3,10,1),1)+1+41)=10,DATE($B$3,10,1)-WEEKDAY(DATE($B$3,10,1),1)+1+41,"")</f>
        <v/>
      </c>
      <c r="H39" s="14" t="str">
        <f>IF(MONTH(DATE($B$3,11,1)-WEEKDAY(DATE($B$3,11,1),1)+1+35)=11,DATE($B$3,11,1)-WEEKDAY(DATE($B$3,11,1),1)+1+35,"")</f>
        <v/>
      </c>
      <c r="I39" s="14" t="str">
        <f>IF(MONTH(DATE($B$3,11,1)-WEEKDAY(DATE($B$3,11,1),1)+1+36)=11,DATE($B$3,11,1)-WEEKDAY(DATE($B$3,11,1),1)+1+36,"")</f>
        <v/>
      </c>
      <c r="J39" s="14" t="str">
        <f>IF(MONTH(DATE($B$3,11,1)-WEEKDAY(DATE($B$3,11,1),1)+1+37)=11,DATE($B$3,11,1)-WEEKDAY(DATE($B$3,11,1),1)+1+37,"")</f>
        <v/>
      </c>
      <c r="K39" s="14" t="str">
        <f>IF(MONTH(DATE($B$3,11,1)-WEEKDAY(DATE($B$3,11,1),1)+1+38)=11,DATE($B$3,11,1)-WEEKDAY(DATE($B$3,11,1),1)+1+38,"")</f>
        <v/>
      </c>
      <c r="L39" s="14" t="str">
        <f>IF(MONTH(DATE($B$3,11,1)-WEEKDAY(DATE($B$3,11,1),1)+1+39)=11,DATE($B$3,11,1)-WEEKDAY(DATE($B$3,11,1),1)+1+39,"")</f>
        <v/>
      </c>
      <c r="M39" s="14" t="str">
        <f>IF(MONTH(DATE($B$3,11,1)-WEEKDAY(DATE($B$3,11,1),1)+1+40)=11,DATE($B$3,11,1)-WEEKDAY(DATE($B$3,11,1),1)+1+40,"")</f>
        <v/>
      </c>
      <c r="N39" s="14" t="str">
        <f>IF(MONTH(DATE($B$3,11,1)-WEEKDAY(DATE($B$3,11,1),1)+1+41)=11,DATE($B$3,11,1)-WEEKDAY(DATE($B$3,11,1),1)+1+41,"")</f>
        <v/>
      </c>
      <c r="O39" s="14" t="str">
        <f>IF(MONTH(DATE($B$3,12,1)-WEEKDAY(DATE($B$3,12,1),1)+1+35)=12,DATE($B$3,12,1)-WEEKDAY(DATE($B$3,12,1),1)+1+35,"")</f>
        <v/>
      </c>
      <c r="P39" s="14" t="str">
        <f>IF(MONTH(DATE($B$3,12,1)-WEEKDAY(DATE($B$3,12,1),1)+1+36)=12,DATE($B$3,12,1)-WEEKDAY(DATE($B$3,12,1),1)+1+36,"")</f>
        <v/>
      </c>
      <c r="Q39" s="14" t="str">
        <f>IF(MONTH(DATE($B$3,12,1)-WEEKDAY(DATE($B$3,12,1),1)+1+37)=12,DATE($B$3,12,1)-WEEKDAY(DATE($B$3,12,1),1)+1+37,"")</f>
        <v/>
      </c>
      <c r="R39" s="14" t="str">
        <f>IF(MONTH(DATE($B$3,12,1)-WEEKDAY(DATE($B$3,12,1),1)+1+38)=12,DATE($B$3,12,1)-WEEKDAY(DATE($B$3,12,1),1)+1+38,"")</f>
        <v/>
      </c>
      <c r="S39" s="14" t="str">
        <f>IF(MONTH(DATE($B$3,12,1)-WEEKDAY(DATE($B$3,12,1),1)+1+39)=12,DATE($B$3,12,1)-WEEKDAY(DATE($B$3,12,1),1)+1+39,"")</f>
        <v/>
      </c>
      <c r="T39" s="14" t="str">
        <f>IF(MONTH(DATE($B$3,12,1)-WEEKDAY(DATE($B$3,12,1),1)+1+40)=12,DATE($B$3,12,1)-WEEKDAY(DATE($B$3,12,1),1)+1+40,"")</f>
        <v/>
      </c>
      <c r="U39" s="14" t="str">
        <f>IF(MONTH(DATE($B$3,12,1)-WEEKDAY(DATE($B$3,12,1),1)+1+41)=12,DATE($B$3,12,1)-WEEKDAY(DATE($B$3,12,1),1)+1+41,"")</f>
        <v/>
      </c>
    </row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>
      <c r="A59" s="15" t="inlineStr">
        <is>
          <t>Feriados nacionais: lista fixa da lei federal. Datas móveis são calculadas a partir da Páscoa. Municípios e estados têm feriados próprios: confira o seu.</t>
        </is>
      </c>
    </row>
  </sheetData>
  <mergeCells count="12">
    <mergeCell ref="O14:U14"/>
    <mergeCell ref="A32:G32"/>
    <mergeCell ref="H5:N5"/>
    <mergeCell ref="A14:G14"/>
    <mergeCell ref="H23:N23"/>
    <mergeCell ref="O32:U32"/>
    <mergeCell ref="H14:N14"/>
    <mergeCell ref="O5:U5"/>
    <mergeCell ref="H32:N32"/>
    <mergeCell ref="O23:U23"/>
    <mergeCell ref="A5:G5"/>
    <mergeCell ref="A23:G23"/>
  </mergeCells>
  <conditionalFormatting sqref="A7:G12">
    <cfRule type="expression" priority="1" dxfId="0">
      <formula>AND(ISNUMBER(A7),COUNTIF($X$6:$X$14,A7)&gt;0)</formula>
    </cfRule>
    <cfRule type="expression" priority="2" dxfId="1">
      <formula>AND(ISNUMBER(A7),COUNTIF($X$18:$X$21,A7)&gt;0)</formula>
    </cfRule>
    <cfRule type="expression" priority="3" dxfId="2">
      <formula>AND(ISNUMBER(A7),OR(COLUMN()=1,COLUMN()=7))</formula>
    </cfRule>
  </conditionalFormatting>
  <conditionalFormatting sqref="H7:N12">
    <cfRule type="expression" priority="4" dxfId="0">
      <formula>AND(ISNUMBER(H7),COUNTIF($X$6:$X$14,H7)&gt;0)</formula>
    </cfRule>
    <cfRule type="expression" priority="5" dxfId="1">
      <formula>AND(ISNUMBER(H7),COUNTIF($X$18:$X$21,H7)&gt;0)</formula>
    </cfRule>
    <cfRule type="expression" priority="6" dxfId="2">
      <formula>AND(ISNUMBER(H7),OR(COLUMN()=8,COLUMN()=14))</formula>
    </cfRule>
  </conditionalFormatting>
  <conditionalFormatting sqref="O7:U12">
    <cfRule type="expression" priority="7" dxfId="0">
      <formula>AND(ISNUMBER(O7),COUNTIF($X$6:$X$14,O7)&gt;0)</formula>
    </cfRule>
    <cfRule type="expression" priority="8" dxfId="1">
      <formula>AND(ISNUMBER(O7),COUNTIF($X$18:$X$21,O7)&gt;0)</formula>
    </cfRule>
    <cfRule type="expression" priority="9" dxfId="2">
      <formula>AND(ISNUMBER(O7),OR(COLUMN()=15,COLUMN()=21))</formula>
    </cfRule>
  </conditionalFormatting>
  <conditionalFormatting sqref="A16:G21">
    <cfRule type="expression" priority="10" dxfId="0">
      <formula>AND(ISNUMBER(A16),COUNTIF($X$6:$X$14,A16)&gt;0)</formula>
    </cfRule>
    <cfRule type="expression" priority="11" dxfId="1">
      <formula>AND(ISNUMBER(A16),COUNTIF($X$18:$X$21,A16)&gt;0)</formula>
    </cfRule>
    <cfRule type="expression" priority="12" dxfId="2">
      <formula>AND(ISNUMBER(A16),OR(COLUMN()=1,COLUMN()=7))</formula>
    </cfRule>
  </conditionalFormatting>
  <conditionalFormatting sqref="H16:N21">
    <cfRule type="expression" priority="13" dxfId="0">
      <formula>AND(ISNUMBER(H16),COUNTIF($X$6:$X$14,H16)&gt;0)</formula>
    </cfRule>
    <cfRule type="expression" priority="14" dxfId="1">
      <formula>AND(ISNUMBER(H16),COUNTIF($X$18:$X$21,H16)&gt;0)</formula>
    </cfRule>
    <cfRule type="expression" priority="15" dxfId="2">
      <formula>AND(ISNUMBER(H16),OR(COLUMN()=8,COLUMN()=14))</formula>
    </cfRule>
  </conditionalFormatting>
  <conditionalFormatting sqref="O16:U21">
    <cfRule type="expression" priority="16" dxfId="0">
      <formula>AND(ISNUMBER(O16),COUNTIF($X$6:$X$14,O16)&gt;0)</formula>
    </cfRule>
    <cfRule type="expression" priority="17" dxfId="1">
      <formula>AND(ISNUMBER(O16),COUNTIF($X$18:$X$21,O16)&gt;0)</formula>
    </cfRule>
    <cfRule type="expression" priority="18" dxfId="2">
      <formula>AND(ISNUMBER(O16),OR(COLUMN()=15,COLUMN()=21))</formula>
    </cfRule>
  </conditionalFormatting>
  <conditionalFormatting sqref="A25:G30">
    <cfRule type="expression" priority="19" dxfId="0">
      <formula>AND(ISNUMBER(A25),COUNTIF($X$6:$X$14,A25)&gt;0)</formula>
    </cfRule>
    <cfRule type="expression" priority="20" dxfId="1">
      <formula>AND(ISNUMBER(A25),COUNTIF($X$18:$X$21,A25)&gt;0)</formula>
    </cfRule>
    <cfRule type="expression" priority="21" dxfId="2">
      <formula>AND(ISNUMBER(A25),OR(COLUMN()=1,COLUMN()=7))</formula>
    </cfRule>
  </conditionalFormatting>
  <conditionalFormatting sqref="H25:N30">
    <cfRule type="expression" priority="22" dxfId="0">
      <formula>AND(ISNUMBER(H25),COUNTIF($X$6:$X$14,H25)&gt;0)</formula>
    </cfRule>
    <cfRule type="expression" priority="23" dxfId="1">
      <formula>AND(ISNUMBER(H25),COUNTIF($X$18:$X$21,H25)&gt;0)</formula>
    </cfRule>
    <cfRule type="expression" priority="24" dxfId="2">
      <formula>AND(ISNUMBER(H25),OR(COLUMN()=8,COLUMN()=14))</formula>
    </cfRule>
  </conditionalFormatting>
  <conditionalFormatting sqref="O25:U30">
    <cfRule type="expression" priority="25" dxfId="0">
      <formula>AND(ISNUMBER(O25),COUNTIF($X$6:$X$14,O25)&gt;0)</formula>
    </cfRule>
    <cfRule type="expression" priority="26" dxfId="1">
      <formula>AND(ISNUMBER(O25),COUNTIF($X$18:$X$21,O25)&gt;0)</formula>
    </cfRule>
    <cfRule type="expression" priority="27" dxfId="2">
      <formula>AND(ISNUMBER(O25),OR(COLUMN()=15,COLUMN()=21))</formula>
    </cfRule>
  </conditionalFormatting>
  <conditionalFormatting sqref="A34:G39">
    <cfRule type="expression" priority="28" dxfId="0">
      <formula>AND(ISNUMBER(A34),COUNTIF($X$6:$X$14,A34)&gt;0)</formula>
    </cfRule>
    <cfRule type="expression" priority="29" dxfId="1">
      <formula>AND(ISNUMBER(A34),COUNTIF($X$18:$X$21,A34)&gt;0)</formula>
    </cfRule>
    <cfRule type="expression" priority="30" dxfId="2">
      <formula>AND(ISNUMBER(A34),OR(COLUMN()=1,COLUMN()=7))</formula>
    </cfRule>
  </conditionalFormatting>
  <conditionalFormatting sqref="H34:N39">
    <cfRule type="expression" priority="31" dxfId="0">
      <formula>AND(ISNUMBER(H34),COUNTIF($X$6:$X$14,H34)&gt;0)</formula>
    </cfRule>
    <cfRule type="expression" priority="32" dxfId="1">
      <formula>AND(ISNUMBER(H34),COUNTIF($X$18:$X$21,H34)&gt;0)</formula>
    </cfRule>
    <cfRule type="expression" priority="33" dxfId="2">
      <formula>AND(ISNUMBER(H34),OR(COLUMN()=8,COLUMN()=14))</formula>
    </cfRule>
  </conditionalFormatting>
  <conditionalFormatting sqref="O34:U39">
    <cfRule type="expression" priority="34" dxfId="0">
      <formula>AND(ISNUMBER(O34),COUNTIF($X$6:$X$14,O34)&gt;0)</formula>
    </cfRule>
    <cfRule type="expression" priority="35" dxfId="1">
      <formula>AND(ISNUMBER(O34),COUNTIF($X$18:$X$21,O34)&gt;0)</formula>
    </cfRule>
    <cfRule type="expression" priority="36" dxfId="2">
      <formula>AND(ISNUMBER(O34),OR(COLUMN()=15,COLUMN()=21))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3" t="n">
        <v>1</v>
      </c>
      <c r="B3" s="16" t="inlineStr">
        <is>
          <t>O calendário se refaz sozinho: troque o ano na célula amarela e todos os meses, dias da semana e feriados mudam.</t>
        </is>
      </c>
    </row>
    <row r="4" ht="32" customHeight="1">
      <c r="A4" s="3" t="n">
        <v>2</v>
      </c>
      <c r="B4" s="16" t="inlineStr">
        <is>
          <t>Verde: feriados nacionais definidos em lei federal (lista na coluna X). Amarelo: datas móveis comuns (Carnaval, Sexta-feira da Paixão, Corpus Christi), que não são feriado nacional por lei federal.</t>
        </is>
      </c>
    </row>
    <row r="5" ht="32" customHeight="1">
      <c r="A5" s="3" t="n">
        <v>3</v>
      </c>
      <c r="B5" s="16" t="inlineStr">
        <is>
          <t>A lista de feriados e datas fica na mesma aba, ao lado do calendário, e você pode acrescentar feriados municipais nas linhas livres da primeira tabela.</t>
        </is>
      </c>
    </row>
    <row r="6" ht="32" customHeight="1">
      <c r="A6" s="3" t="n">
        <v>4</v>
      </c>
      <c r="B6" s="16" t="inlineStr">
        <is>
          <t>Para imprimir, a área de impressão já está definida só com os 12 meses, em paisagem, ajustada para uma página de largura.</t>
        </is>
      </c>
    </row>
    <row r="7" ht="18" customHeight="1">
      <c r="A7" s="3" t="n">
        <v>5</v>
      </c>
      <c r="B7" s="16" t="inlineStr">
        <is>
          <t>As datas móveis usam o cálculo da Páscoa do calendário gregoriano (colunas AC e AD).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Calendário 2027</dc:title>
  <dc:description>Calendário anual de 2027 com feriados nacionais destacados, gerado por fórmulas, para imprimir.</dc:description>
  <dcterms:created xsi:type="dcterms:W3CDTF">2026-10-21T15:56:01Z</dcterms:created>
  <dcterms:modified xsi:type="dcterms:W3CDTF">2026-10-21T15:56:01Z</dcterms:modified>
  <cp:keywords>modelo, planilha, Excel na prática</cp:keywords>
</cp:coreProperties>
</file>